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4"/>
  </bookViews>
  <sheets>
    <sheet name="CF1" sheetId="1" r:id="rId1"/>
    <sheet name="CF2" sheetId="2" r:id="rId2"/>
    <sheet name="CF3" sheetId="3" r:id="rId3"/>
    <sheet name="CF4" sheetId="4" r:id="rId4"/>
    <sheet name="CF3 (2)" sheetId="5" r:id="rId5"/>
  </sheets>
  <definedNames>
    <definedName name="_xlnm.Print_Area" localSheetId="0">'CF1'!$B$2:$AA$89</definedName>
    <definedName name="_xlnm.Print_Area" localSheetId="1">'CF2'!$B$2:$AA$91</definedName>
    <definedName name="_xlnm.Print_Area" localSheetId="2">'CF3'!$B$2:$AA$90</definedName>
    <definedName name="_xlnm.Print_Area" localSheetId="4">'CF3 (2)'!$B$2:$AA$89</definedName>
    <definedName name="_xlnm.Print_Area" localSheetId="3">'CF4'!$B$2:$AA$90</definedName>
  </definedNames>
  <calcPr fullCalcOnLoad="1"/>
</workbook>
</file>

<file path=xl/sharedStrings.xml><?xml version="1.0" encoding="utf-8"?>
<sst xmlns="http://schemas.openxmlformats.org/spreadsheetml/2006/main" count="741" uniqueCount="130">
  <si>
    <t>DESIGN OF COMBINED FOOTING</t>
  </si>
  <si>
    <t>PROJECT NAME</t>
  </si>
  <si>
    <t xml:space="preserve">COLUMN LOADS </t>
  </si>
  <si>
    <t>P1(MT)</t>
  </si>
  <si>
    <t>P2(MT)</t>
  </si>
  <si>
    <t>S.B.C (T/SFT)</t>
  </si>
  <si>
    <t>Area of the Footing reqd. (sft)</t>
  </si>
  <si>
    <t>Area of the Footing Provided (sft)</t>
  </si>
  <si>
    <r>
      <t xml:space="preserve">Total Load " </t>
    </r>
    <r>
      <rPr>
        <b/>
        <sz val="10"/>
        <color indexed="17"/>
        <rFont val="Arial"/>
        <family val="0"/>
      </rPr>
      <t>P</t>
    </r>
    <r>
      <rPr>
        <sz val="10"/>
        <color indexed="17"/>
        <rFont val="Arial"/>
        <family val="0"/>
      </rPr>
      <t xml:space="preserve"> "( MT)</t>
    </r>
  </si>
  <si>
    <t>Design of Cantilever slab:</t>
  </si>
  <si>
    <t>Span L (ft)</t>
  </si>
  <si>
    <t>Bending Moment (in-lb)</t>
  </si>
  <si>
    <t>d reqd.  (in)</t>
  </si>
  <si>
    <t>Provide D (in)</t>
  </si>
  <si>
    <t>Effective Depth (in)</t>
  </si>
  <si>
    <t>Design of Strip Beam:</t>
  </si>
  <si>
    <t xml:space="preserve">Provided Load due to </t>
  </si>
  <si>
    <t>Width (ft)</t>
  </si>
  <si>
    <t>Length (ft)</t>
  </si>
  <si>
    <t>Cantilever Slab( lb/ft)</t>
  </si>
  <si>
    <t>(W*L*L/12)</t>
  </si>
  <si>
    <t>Bending Moment  (in-lb)</t>
  </si>
  <si>
    <t>d reqd. (in)</t>
  </si>
  <si>
    <t>Try Beam of size  (IN)</t>
  </si>
  <si>
    <t>B</t>
  </si>
  <si>
    <t>D</t>
  </si>
  <si>
    <t>DATE</t>
  </si>
  <si>
    <t>Check for Deep Beam:</t>
  </si>
  <si>
    <t>Span L  (ft)</t>
  </si>
  <si>
    <t>Depth D (ft)</t>
  </si>
  <si>
    <t>L/D</t>
  </si>
  <si>
    <t>Lever Arm Z (ft)</t>
  </si>
  <si>
    <t>Ast  (in2)</t>
  </si>
  <si>
    <t>mm2</t>
  </si>
  <si>
    <t>Not Deep Beam Condition</t>
  </si>
  <si>
    <t>Deep Beam Condition</t>
  </si>
  <si>
    <t>Effective Depth</t>
  </si>
  <si>
    <t>Check for Shear:</t>
  </si>
  <si>
    <t>(W*L/2)</t>
  </si>
  <si>
    <t>KN</t>
  </si>
  <si>
    <t>Tv</t>
  </si>
  <si>
    <t>MM</t>
  </si>
  <si>
    <t>INCH</t>
  </si>
  <si>
    <t>Pt =Ast*100/(b*d)</t>
  </si>
  <si>
    <t>for Deep Beam cndn</t>
  </si>
  <si>
    <t>for not Deep Beam cndn</t>
  </si>
  <si>
    <t>%</t>
  </si>
  <si>
    <t>Tc( from table)</t>
  </si>
  <si>
    <t>Fe</t>
  </si>
  <si>
    <t>M</t>
  </si>
  <si>
    <t>Spacing for 10mm dia</t>
  </si>
  <si>
    <t>Spacing for 12mm dia</t>
  </si>
  <si>
    <t>Tension Reinforcement:</t>
  </si>
  <si>
    <t>(a) At Zone Depth of 0.2*D</t>
  </si>
  <si>
    <t>mm</t>
  </si>
  <si>
    <t>Ast for Deep Beam cndn</t>
  </si>
  <si>
    <t>Ast for Not Deep Beam cndn</t>
  </si>
  <si>
    <t>Design of Cantilever Beam:</t>
  </si>
  <si>
    <t>Loads due to Cant. Slabs (lb/ft)</t>
  </si>
  <si>
    <t>W*L*L/2</t>
  </si>
  <si>
    <t>Bending Moment M (in-lb)</t>
  </si>
  <si>
    <t>constants</t>
  </si>
  <si>
    <t>Q</t>
  </si>
  <si>
    <t>Tc Max</t>
  </si>
  <si>
    <t>P1</t>
  </si>
  <si>
    <t>P2</t>
  </si>
  <si>
    <t xml:space="preserve">TOWER </t>
  </si>
  <si>
    <t xml:space="preserve">Shear Force V </t>
  </si>
  <si>
    <t>MT</t>
  </si>
  <si>
    <t>CHECK FOR SHEAR IN CANTILEVER SLAB</t>
  </si>
  <si>
    <t>COLUMN SIZE</t>
  </si>
  <si>
    <t>FOOTING ID</t>
  </si>
  <si>
    <t>CF2</t>
  </si>
  <si>
    <t>lb</t>
  </si>
  <si>
    <t>kn</t>
  </si>
  <si>
    <t>Tc</t>
  </si>
  <si>
    <t>N/mm2</t>
  </si>
  <si>
    <t>&gt;2.5</t>
  </si>
  <si>
    <t>V</t>
  </si>
  <si>
    <t xml:space="preserve"> </t>
  </si>
  <si>
    <t>Provide 16mm dia</t>
  </si>
  <si>
    <t>CG from  P1</t>
  </si>
  <si>
    <t>ft</t>
  </si>
  <si>
    <t xml:space="preserve">Provide 12mm dia </t>
  </si>
  <si>
    <t>Vu/(b*d)</t>
  </si>
  <si>
    <t>Vus=(Tv-Tc)*b*d</t>
  </si>
  <si>
    <t>NUPI (lb/ft2)</t>
  </si>
  <si>
    <t>T/SFT</t>
  </si>
  <si>
    <t>&lt;SBC</t>
  </si>
  <si>
    <t>CF1</t>
  </si>
  <si>
    <t>300X900</t>
  </si>
  <si>
    <t>&lt;2.5</t>
  </si>
  <si>
    <t>Calculation of CG of load</t>
  </si>
  <si>
    <t>m</t>
  </si>
  <si>
    <t>kn-m</t>
  </si>
  <si>
    <t>Ast (in2)</t>
  </si>
  <si>
    <t>Provide 12mm dia   (inch)</t>
  </si>
  <si>
    <t>Provide 16mm dia   (inch)</t>
  </si>
  <si>
    <t>kn/m</t>
  </si>
  <si>
    <t>N</t>
  </si>
  <si>
    <t>Ast   (in2)</t>
  </si>
  <si>
    <t>So,Provide 10mm dia bars @ 100mmc/c</t>
  </si>
  <si>
    <t>So,Provide 16mm dia bars at 6" c/c</t>
  </si>
  <si>
    <t>GRADE</t>
  </si>
  <si>
    <t>R</t>
  </si>
  <si>
    <t>M25/FE 500</t>
  </si>
  <si>
    <t>M30/FE 500</t>
  </si>
  <si>
    <t>M35/FE 500</t>
  </si>
  <si>
    <t>N/MM2</t>
  </si>
  <si>
    <t>M20/FE 500</t>
  </si>
  <si>
    <t>CF3</t>
  </si>
  <si>
    <t>So,Provide 12mm dia bars @ 100mmc/c  4L</t>
  </si>
  <si>
    <t>So,Provide #8-16</t>
  </si>
  <si>
    <t>Leggd</t>
  </si>
  <si>
    <t>So,Provide #8-20</t>
  </si>
  <si>
    <t>Provide 20mm dia   (inch)</t>
  </si>
  <si>
    <t>So,Provide #4-25+#4-20</t>
  </si>
  <si>
    <t>CF4</t>
  </si>
  <si>
    <t>So,Provide #4-20+#4-16</t>
  </si>
  <si>
    <t>So,Provide 16mm dia bars at 100mm c/c</t>
  </si>
  <si>
    <t>So,Provide 16mm dia bars at 125 mmc/c</t>
  </si>
  <si>
    <t>So,Provide 20mm dia bars at 150 mm c/c</t>
  </si>
  <si>
    <t>So,Provide 20mm dia bars at 150mm c/c</t>
  </si>
  <si>
    <t>(W*(L-d/2))</t>
  </si>
  <si>
    <t>(W*(L-d/2)</t>
  </si>
  <si>
    <t>So,Provide 10mm dia bars @ 100mmc/c 4L</t>
  </si>
  <si>
    <t>So,Provide 10mm dia bars @ 150mmc/c</t>
  </si>
  <si>
    <t>So,Provide #4-16+#4-16</t>
  </si>
  <si>
    <t>Spacing for 8mm dia</t>
  </si>
  <si>
    <t>PROPOSED RESIDENTIAL APARTMENT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</si>
</sst>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0000"/>
  </numFmts>
  <fonts count="62">
    <font>
      <sz val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7"/>
      <name val="Arial"/>
      <family val="0"/>
    </font>
    <font>
      <b/>
      <sz val="10"/>
      <color indexed="56"/>
      <name val="Arial"/>
      <family val="2"/>
    </font>
    <font>
      <sz val="8"/>
      <name val="Arial"/>
      <family val="0"/>
    </font>
    <font>
      <sz val="11"/>
      <color indexed="10"/>
      <name val="Arial"/>
      <family val="0"/>
    </font>
    <font>
      <sz val="10"/>
      <color indexed="53"/>
      <name val="Arial"/>
      <family val="0"/>
    </font>
    <font>
      <b/>
      <sz val="10"/>
      <name val="Arial"/>
      <family val="2"/>
    </font>
    <font>
      <b/>
      <sz val="10"/>
      <color indexed="52"/>
      <name val="Arial"/>
      <family val="2"/>
    </font>
    <font>
      <sz val="11"/>
      <color indexed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21"/>
      <name val="Arial"/>
      <family val="2"/>
    </font>
    <font>
      <b/>
      <sz val="11"/>
      <color indexed="10"/>
      <name val="Arial"/>
      <family val="2"/>
    </font>
    <font>
      <sz val="10"/>
      <color indexed="14"/>
      <name val="Arial"/>
      <family val="0"/>
    </font>
    <font>
      <b/>
      <sz val="11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57"/>
      <name val="Arial"/>
      <family val="0"/>
    </font>
    <font>
      <b/>
      <sz val="10"/>
      <color indexed="5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 horizontal="center"/>
    </xf>
    <xf numFmtId="1" fontId="6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2" fontId="0" fillId="0" borderId="0" xfId="0" applyNumberFormat="1" applyAlignment="1">
      <alignment/>
    </xf>
    <xf numFmtId="1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5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6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6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1" fillId="0" borderId="17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21" xfId="0" applyFont="1" applyBorder="1" applyAlignment="1">
      <alignment/>
    </xf>
    <xf numFmtId="0" fontId="18" fillId="0" borderId="2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2" fontId="13" fillId="0" borderId="0" xfId="0" applyNumberFormat="1" applyFont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33" borderId="0" xfId="0" applyFill="1" applyAlignment="1">
      <alignment/>
    </xf>
    <xf numFmtId="2" fontId="6" fillId="33" borderId="0" xfId="0" applyNumberFormat="1" applyFont="1" applyFill="1" applyAlignment="1">
      <alignment/>
    </xf>
    <xf numFmtId="1" fontId="10" fillId="33" borderId="0" xfId="0" applyNumberFormat="1" applyFont="1" applyFill="1" applyAlignment="1">
      <alignment/>
    </xf>
    <xf numFmtId="2" fontId="10" fillId="33" borderId="0" xfId="0" applyNumberFormat="1" applyFont="1" applyFill="1" applyAlignment="1">
      <alignment/>
    </xf>
    <xf numFmtId="2" fontId="11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11" xfId="0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 applyProtection="1">
      <alignment horizontal="right"/>
      <protection locked="0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right"/>
    </xf>
    <xf numFmtId="0" fontId="21" fillId="0" borderId="17" xfId="0" applyFont="1" applyBorder="1" applyAlignment="1">
      <alignment/>
    </xf>
    <xf numFmtId="0" fontId="0" fillId="0" borderId="24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0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15" fillId="0" borderId="0" xfId="0" applyNumberFormat="1" applyFont="1" applyAlignment="1">
      <alignment/>
    </xf>
    <xf numFmtId="2" fontId="15" fillId="0" borderId="12" xfId="0" applyNumberFormat="1" applyFont="1" applyBorder="1" applyAlignment="1">
      <alignment horizontal="right"/>
    </xf>
    <xf numFmtId="2" fontId="15" fillId="0" borderId="13" xfId="0" applyNumberFormat="1" applyFont="1" applyBorder="1" applyAlignment="1">
      <alignment horizontal="left"/>
    </xf>
    <xf numFmtId="2" fontId="2" fillId="0" borderId="0" xfId="0" applyNumberFormat="1" applyFont="1" applyAlignment="1">
      <alignment/>
    </xf>
    <xf numFmtId="2" fontId="10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left"/>
    </xf>
    <xf numFmtId="172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2" fontId="22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" fontId="22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1" fontId="24" fillId="35" borderId="0" xfId="0" applyNumberFormat="1" applyFont="1" applyFill="1" applyAlignment="1">
      <alignment/>
    </xf>
    <xf numFmtId="2" fontId="10" fillId="35" borderId="0" xfId="0" applyNumberFormat="1" applyFont="1" applyFill="1" applyAlignment="1">
      <alignment/>
    </xf>
    <xf numFmtId="2" fontId="22" fillId="35" borderId="0" xfId="0" applyNumberFormat="1" applyFont="1" applyFill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5" fillId="0" borderId="10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25" fillId="0" borderId="30" xfId="0" applyFont="1" applyBorder="1" applyAlignment="1">
      <alignment/>
    </xf>
    <xf numFmtId="0" fontId="25" fillId="0" borderId="31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32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172" fontId="15" fillId="0" borderId="12" xfId="0" applyNumberFormat="1" applyFont="1" applyBorder="1" applyAlignment="1">
      <alignment horizontal="right"/>
    </xf>
    <xf numFmtId="172" fontId="15" fillId="0" borderId="13" xfId="0" applyNumberFormat="1" applyFont="1" applyBorder="1" applyAlignment="1">
      <alignment horizontal="left"/>
    </xf>
    <xf numFmtId="172" fontId="15" fillId="0" borderId="15" xfId="0" applyNumberFormat="1" applyFont="1" applyBorder="1" applyAlignment="1">
      <alignment horizontal="center"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172" fontId="15" fillId="0" borderId="0" xfId="0" applyNumberFormat="1" applyFont="1" applyAlignment="1">
      <alignment horizontal="center"/>
    </xf>
    <xf numFmtId="172" fontId="15" fillId="0" borderId="0" xfId="0" applyNumberFormat="1" applyFont="1" applyBorder="1" applyAlignment="1">
      <alignment horizontal="center"/>
    </xf>
    <xf numFmtId="0" fontId="6" fillId="0" borderId="41" xfId="0" applyFont="1" applyFill="1" applyBorder="1" applyAlignment="1">
      <alignment horizontal="left"/>
    </xf>
    <xf numFmtId="0" fontId="6" fillId="0" borderId="42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10" xfId="0" applyFont="1" applyFill="1" applyBorder="1" applyAlignment="1" applyProtection="1">
      <alignment horizontal="left"/>
      <protection locked="0"/>
    </xf>
    <xf numFmtId="0" fontId="2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33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0" fontId="14" fillId="3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33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41" xfId="0" applyFont="1" applyFill="1" applyBorder="1" applyAlignment="1" applyProtection="1">
      <alignment horizontal="left"/>
      <protection locked="0"/>
    </xf>
    <xf numFmtId="0" fontId="2" fillId="0" borderId="43" xfId="0" applyFont="1" applyFill="1" applyBorder="1" applyAlignment="1" applyProtection="1">
      <alignment horizontal="left"/>
      <protection locked="0"/>
    </xf>
    <xf numFmtId="0" fontId="2" fillId="0" borderId="42" xfId="0" applyFont="1" applyFill="1" applyBorder="1" applyAlignment="1" applyProtection="1">
      <alignment horizontal="left"/>
      <protection locked="0"/>
    </xf>
    <xf numFmtId="0" fontId="1" fillId="0" borderId="41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7" fillId="36" borderId="0" xfId="0" applyFont="1" applyFill="1" applyAlignment="1">
      <alignment horizontal="left"/>
    </xf>
    <xf numFmtId="172" fontId="7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5" fillId="0" borderId="44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5" fillId="0" borderId="46" xfId="0" applyFont="1" applyBorder="1" applyAlignment="1">
      <alignment horizontal="center"/>
    </xf>
    <xf numFmtId="14" fontId="1" fillId="0" borderId="41" xfId="0" applyNumberFormat="1" applyFont="1" applyFill="1" applyBorder="1" applyAlignment="1" applyProtection="1">
      <alignment horizontal="left"/>
      <protection locked="0"/>
    </xf>
    <xf numFmtId="0" fontId="23" fillId="36" borderId="0" xfId="0" applyFont="1" applyFill="1" applyAlignment="1">
      <alignment horizontal="left"/>
    </xf>
    <xf numFmtId="0" fontId="6" fillId="0" borderId="1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20</xdr:row>
      <xdr:rowOff>9525</xdr:rowOff>
    </xdr:from>
    <xdr:to>
      <xdr:col>11</xdr:col>
      <xdr:colOff>276225</xdr:colOff>
      <xdr:row>26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8191500" y="3476625"/>
          <a:ext cx="57150" cy="11144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8</xdr:col>
      <xdr:colOff>285750</xdr:colOff>
      <xdr:row>20</xdr:row>
      <xdr:rowOff>38100</xdr:rowOff>
    </xdr:from>
    <xdr:to>
      <xdr:col>8</xdr:col>
      <xdr:colOff>342900</xdr:colOff>
      <xdr:row>27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362700" y="3505200"/>
          <a:ext cx="57150" cy="1123950"/>
        </a:xfrm>
        <a:prstGeom prst="downArrow">
          <a:avLst>
            <a:gd name="adj1" fmla="val 31250"/>
            <a:gd name="adj2" fmla="val -20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8</xdr:col>
      <xdr:colOff>285750</xdr:colOff>
      <xdr:row>37</xdr:row>
      <xdr:rowOff>76200</xdr:rowOff>
    </xdr:from>
    <xdr:to>
      <xdr:col>11</xdr:col>
      <xdr:colOff>314325</xdr:colOff>
      <xdr:row>38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6362700" y="6429375"/>
          <a:ext cx="1924050" cy="200025"/>
        </a:xfrm>
        <a:prstGeom prst="leftRightArrow">
          <a:avLst>
            <a:gd name="adj1" fmla="val -41796"/>
            <a:gd name="adj2" fmla="val -8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26</xdr:row>
      <xdr:rowOff>28575</xdr:rowOff>
    </xdr:from>
    <xdr:to>
      <xdr:col>6</xdr:col>
      <xdr:colOff>590550</xdr:colOff>
      <xdr:row>33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5229225" y="4486275"/>
          <a:ext cx="114300" cy="1362075"/>
        </a:xfrm>
        <a:prstGeom prst="upDownArrow">
          <a:avLst>
            <a:gd name="adj1" fmla="val -7694"/>
            <a:gd name="adj2" fmla="val -435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37</xdr:row>
      <xdr:rowOff>133350</xdr:rowOff>
    </xdr:from>
    <xdr:to>
      <xdr:col>8</xdr:col>
      <xdr:colOff>247650</xdr:colOff>
      <xdr:row>38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5486400" y="6486525"/>
          <a:ext cx="838200" cy="8572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</a:p>
      </xdr:txBody>
    </xdr:sp>
    <xdr:clientData/>
  </xdr:twoCellAnchor>
  <xdr:twoCellAnchor>
    <xdr:from>
      <xdr:col>11</xdr:col>
      <xdr:colOff>323850</xdr:colOff>
      <xdr:row>37</xdr:row>
      <xdr:rowOff>123825</xdr:rowOff>
    </xdr:from>
    <xdr:to>
      <xdr:col>12</xdr:col>
      <xdr:colOff>581025</xdr:colOff>
      <xdr:row>38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8296275" y="6477000"/>
          <a:ext cx="866775" cy="7620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</a:p>
      </xdr:txBody>
    </xdr:sp>
    <xdr:clientData/>
  </xdr:twoCellAnchor>
  <xdr:twoCellAnchor>
    <xdr:from>
      <xdr:col>6</xdr:col>
      <xdr:colOff>504825</xdr:colOff>
      <xdr:row>23</xdr:row>
      <xdr:rowOff>0</xdr:rowOff>
    </xdr:from>
    <xdr:to>
      <xdr:col>6</xdr:col>
      <xdr:colOff>552450</xdr:colOff>
      <xdr:row>26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5257800" y="3962400"/>
          <a:ext cx="47625" cy="5048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33</xdr:row>
      <xdr:rowOff>152400</xdr:rowOff>
    </xdr:from>
    <xdr:to>
      <xdr:col>6</xdr:col>
      <xdr:colOff>552450</xdr:colOff>
      <xdr:row>36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5257800" y="5838825"/>
          <a:ext cx="47625" cy="5048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</xdr:row>
      <xdr:rowOff>104775</xdr:rowOff>
    </xdr:from>
    <xdr:to>
      <xdr:col>13</xdr:col>
      <xdr:colOff>0</xdr:colOff>
      <xdr:row>42</xdr:row>
      <xdr:rowOff>76200</xdr:rowOff>
    </xdr:to>
    <xdr:sp>
      <xdr:nvSpPr>
        <xdr:cNvPr id="9" name="AutoShape 9"/>
        <xdr:cNvSpPr>
          <a:spLocks/>
        </xdr:cNvSpPr>
      </xdr:nvSpPr>
      <xdr:spPr>
        <a:xfrm>
          <a:off x="5476875" y="6943725"/>
          <a:ext cx="3714750" cy="295275"/>
        </a:xfrm>
        <a:prstGeom prst="leftRightArrow">
          <a:avLst>
            <a:gd name="adj1" fmla="val -44777"/>
            <a:gd name="adj2" fmla="val -6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23</xdr:row>
      <xdr:rowOff>0</xdr:rowOff>
    </xdr:from>
    <xdr:to>
      <xdr:col>13</xdr:col>
      <xdr:colOff>409575</xdr:colOff>
      <xdr:row>36</xdr:row>
      <xdr:rowOff>161925</xdr:rowOff>
    </xdr:to>
    <xdr:sp>
      <xdr:nvSpPr>
        <xdr:cNvPr id="10" name="AutoShape 10"/>
        <xdr:cNvSpPr>
          <a:spLocks/>
        </xdr:cNvSpPr>
      </xdr:nvSpPr>
      <xdr:spPr>
        <a:xfrm>
          <a:off x="9401175" y="3962400"/>
          <a:ext cx="200025" cy="2381250"/>
        </a:xfrm>
        <a:prstGeom prst="upDownArrow">
          <a:avLst>
            <a:gd name="adj1" fmla="val -7143"/>
            <a:gd name="adj2" fmla="val -4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36</xdr:row>
      <xdr:rowOff>161925</xdr:rowOff>
    </xdr:from>
    <xdr:to>
      <xdr:col>8</xdr:col>
      <xdr:colOff>295275</xdr:colOff>
      <xdr:row>39</xdr:row>
      <xdr:rowOff>9525</xdr:rowOff>
    </xdr:to>
    <xdr:sp>
      <xdr:nvSpPr>
        <xdr:cNvPr id="11" name="Line 11"/>
        <xdr:cNvSpPr>
          <a:spLocks/>
        </xdr:cNvSpPr>
      </xdr:nvSpPr>
      <xdr:spPr>
        <a:xfrm>
          <a:off x="6362700" y="6343650"/>
          <a:ext cx="9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37</xdr:row>
      <xdr:rowOff>9525</xdr:rowOff>
    </xdr:from>
    <xdr:to>
      <xdr:col>11</xdr:col>
      <xdr:colOff>295275</xdr:colOff>
      <xdr:row>39</xdr:row>
      <xdr:rowOff>28575</xdr:rowOff>
    </xdr:to>
    <xdr:sp>
      <xdr:nvSpPr>
        <xdr:cNvPr id="12" name="Line 12"/>
        <xdr:cNvSpPr>
          <a:spLocks/>
        </xdr:cNvSpPr>
      </xdr:nvSpPr>
      <xdr:spPr>
        <a:xfrm>
          <a:off x="8258175" y="6362700"/>
          <a:ext cx="9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52</xdr:row>
      <xdr:rowOff>9525</xdr:rowOff>
    </xdr:from>
    <xdr:to>
      <xdr:col>18</xdr:col>
      <xdr:colOff>171450</xdr:colOff>
      <xdr:row>60</xdr:row>
      <xdr:rowOff>95250</xdr:rowOff>
    </xdr:to>
    <xdr:sp>
      <xdr:nvSpPr>
        <xdr:cNvPr id="13" name="Line 16"/>
        <xdr:cNvSpPr>
          <a:spLocks/>
        </xdr:cNvSpPr>
      </xdr:nvSpPr>
      <xdr:spPr>
        <a:xfrm>
          <a:off x="12439650" y="8943975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53</xdr:row>
      <xdr:rowOff>9525</xdr:rowOff>
    </xdr:from>
    <xdr:to>
      <xdr:col>18</xdr:col>
      <xdr:colOff>171450</xdr:colOff>
      <xdr:row>61</xdr:row>
      <xdr:rowOff>66675</xdr:rowOff>
    </xdr:to>
    <xdr:sp>
      <xdr:nvSpPr>
        <xdr:cNvPr id="14" name="Line 17"/>
        <xdr:cNvSpPr>
          <a:spLocks/>
        </xdr:cNvSpPr>
      </xdr:nvSpPr>
      <xdr:spPr>
        <a:xfrm>
          <a:off x="12439650" y="9105900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20</xdr:row>
      <xdr:rowOff>9525</xdr:rowOff>
    </xdr:from>
    <xdr:to>
      <xdr:col>11</xdr:col>
      <xdr:colOff>276225</xdr:colOff>
      <xdr:row>26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8096250" y="3476625"/>
          <a:ext cx="57150" cy="11144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8</xdr:col>
      <xdr:colOff>285750</xdr:colOff>
      <xdr:row>20</xdr:row>
      <xdr:rowOff>38100</xdr:rowOff>
    </xdr:from>
    <xdr:to>
      <xdr:col>8</xdr:col>
      <xdr:colOff>342900</xdr:colOff>
      <xdr:row>27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362700" y="3505200"/>
          <a:ext cx="57150" cy="1123950"/>
        </a:xfrm>
        <a:prstGeom prst="downArrow">
          <a:avLst>
            <a:gd name="adj1" fmla="val 31250"/>
            <a:gd name="adj2" fmla="val -20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8</xdr:col>
      <xdr:colOff>285750</xdr:colOff>
      <xdr:row>37</xdr:row>
      <xdr:rowOff>76200</xdr:rowOff>
    </xdr:from>
    <xdr:to>
      <xdr:col>11</xdr:col>
      <xdr:colOff>314325</xdr:colOff>
      <xdr:row>38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6362700" y="6429375"/>
          <a:ext cx="1828800" cy="200025"/>
        </a:xfrm>
        <a:prstGeom prst="leftRightArrow">
          <a:avLst>
            <a:gd name="adj1" fmla="val -41796"/>
            <a:gd name="adj2" fmla="val -8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26</xdr:row>
      <xdr:rowOff>28575</xdr:rowOff>
    </xdr:from>
    <xdr:to>
      <xdr:col>6</xdr:col>
      <xdr:colOff>590550</xdr:colOff>
      <xdr:row>33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5229225" y="4486275"/>
          <a:ext cx="114300" cy="1362075"/>
        </a:xfrm>
        <a:prstGeom prst="upDownArrow">
          <a:avLst>
            <a:gd name="adj1" fmla="val -7694"/>
            <a:gd name="adj2" fmla="val -435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37</xdr:row>
      <xdr:rowOff>133350</xdr:rowOff>
    </xdr:from>
    <xdr:to>
      <xdr:col>8</xdr:col>
      <xdr:colOff>247650</xdr:colOff>
      <xdr:row>38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5486400" y="6486525"/>
          <a:ext cx="838200" cy="8572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</a:p>
      </xdr:txBody>
    </xdr:sp>
    <xdr:clientData/>
  </xdr:twoCellAnchor>
  <xdr:twoCellAnchor>
    <xdr:from>
      <xdr:col>11</xdr:col>
      <xdr:colOff>323850</xdr:colOff>
      <xdr:row>37</xdr:row>
      <xdr:rowOff>123825</xdr:rowOff>
    </xdr:from>
    <xdr:to>
      <xdr:col>12</xdr:col>
      <xdr:colOff>581025</xdr:colOff>
      <xdr:row>38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8201025" y="6477000"/>
          <a:ext cx="866775" cy="7620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</a:p>
      </xdr:txBody>
    </xdr:sp>
    <xdr:clientData/>
  </xdr:twoCellAnchor>
  <xdr:twoCellAnchor>
    <xdr:from>
      <xdr:col>6</xdr:col>
      <xdr:colOff>504825</xdr:colOff>
      <xdr:row>23</xdr:row>
      <xdr:rowOff>0</xdr:rowOff>
    </xdr:from>
    <xdr:to>
      <xdr:col>6</xdr:col>
      <xdr:colOff>552450</xdr:colOff>
      <xdr:row>26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5257800" y="3962400"/>
          <a:ext cx="47625" cy="5048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33</xdr:row>
      <xdr:rowOff>152400</xdr:rowOff>
    </xdr:from>
    <xdr:to>
      <xdr:col>6</xdr:col>
      <xdr:colOff>552450</xdr:colOff>
      <xdr:row>36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5257800" y="5838825"/>
          <a:ext cx="47625" cy="5048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</xdr:row>
      <xdr:rowOff>104775</xdr:rowOff>
    </xdr:from>
    <xdr:to>
      <xdr:col>13</xdr:col>
      <xdr:colOff>0</xdr:colOff>
      <xdr:row>42</xdr:row>
      <xdr:rowOff>76200</xdr:rowOff>
    </xdr:to>
    <xdr:sp>
      <xdr:nvSpPr>
        <xdr:cNvPr id="9" name="AutoShape 9"/>
        <xdr:cNvSpPr>
          <a:spLocks/>
        </xdr:cNvSpPr>
      </xdr:nvSpPr>
      <xdr:spPr>
        <a:xfrm>
          <a:off x="5476875" y="6943725"/>
          <a:ext cx="3619500" cy="295275"/>
        </a:xfrm>
        <a:prstGeom prst="leftRightArrow">
          <a:avLst>
            <a:gd name="adj1" fmla="val -44777"/>
            <a:gd name="adj2" fmla="val -6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23</xdr:row>
      <xdr:rowOff>47625</xdr:rowOff>
    </xdr:from>
    <xdr:to>
      <xdr:col>14</xdr:col>
      <xdr:colOff>161925</xdr:colOff>
      <xdr:row>37</xdr:row>
      <xdr:rowOff>38100</xdr:rowOff>
    </xdr:to>
    <xdr:sp>
      <xdr:nvSpPr>
        <xdr:cNvPr id="10" name="AutoShape 10"/>
        <xdr:cNvSpPr>
          <a:spLocks/>
        </xdr:cNvSpPr>
      </xdr:nvSpPr>
      <xdr:spPr>
        <a:xfrm>
          <a:off x="9544050" y="4010025"/>
          <a:ext cx="200025" cy="2381250"/>
        </a:xfrm>
        <a:prstGeom prst="upDownArrow">
          <a:avLst>
            <a:gd name="adj1" fmla="val -7143"/>
            <a:gd name="adj2" fmla="val -4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36</xdr:row>
      <xdr:rowOff>161925</xdr:rowOff>
    </xdr:from>
    <xdr:to>
      <xdr:col>8</xdr:col>
      <xdr:colOff>295275</xdr:colOff>
      <xdr:row>39</xdr:row>
      <xdr:rowOff>9525</xdr:rowOff>
    </xdr:to>
    <xdr:sp>
      <xdr:nvSpPr>
        <xdr:cNvPr id="11" name="Line 11"/>
        <xdr:cNvSpPr>
          <a:spLocks/>
        </xdr:cNvSpPr>
      </xdr:nvSpPr>
      <xdr:spPr>
        <a:xfrm>
          <a:off x="6362700" y="6343650"/>
          <a:ext cx="9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37</xdr:row>
      <xdr:rowOff>9525</xdr:rowOff>
    </xdr:from>
    <xdr:to>
      <xdr:col>11</xdr:col>
      <xdr:colOff>295275</xdr:colOff>
      <xdr:row>39</xdr:row>
      <xdr:rowOff>28575</xdr:rowOff>
    </xdr:to>
    <xdr:sp>
      <xdr:nvSpPr>
        <xdr:cNvPr id="12" name="Line 12"/>
        <xdr:cNvSpPr>
          <a:spLocks/>
        </xdr:cNvSpPr>
      </xdr:nvSpPr>
      <xdr:spPr>
        <a:xfrm>
          <a:off x="8162925" y="6362700"/>
          <a:ext cx="9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52</xdr:row>
      <xdr:rowOff>9525</xdr:rowOff>
    </xdr:from>
    <xdr:to>
      <xdr:col>18</xdr:col>
      <xdr:colOff>171450</xdr:colOff>
      <xdr:row>60</xdr:row>
      <xdr:rowOff>95250</xdr:rowOff>
    </xdr:to>
    <xdr:sp>
      <xdr:nvSpPr>
        <xdr:cNvPr id="13" name="Line 14"/>
        <xdr:cNvSpPr>
          <a:spLocks/>
        </xdr:cNvSpPr>
      </xdr:nvSpPr>
      <xdr:spPr>
        <a:xfrm>
          <a:off x="12192000" y="8943975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53</xdr:row>
      <xdr:rowOff>9525</xdr:rowOff>
    </xdr:from>
    <xdr:to>
      <xdr:col>18</xdr:col>
      <xdr:colOff>171450</xdr:colOff>
      <xdr:row>61</xdr:row>
      <xdr:rowOff>66675</xdr:rowOff>
    </xdr:to>
    <xdr:sp>
      <xdr:nvSpPr>
        <xdr:cNvPr id="14" name="Line 15"/>
        <xdr:cNvSpPr>
          <a:spLocks/>
        </xdr:cNvSpPr>
      </xdr:nvSpPr>
      <xdr:spPr>
        <a:xfrm>
          <a:off x="12192000" y="9105900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20</xdr:row>
      <xdr:rowOff>9525</xdr:rowOff>
    </xdr:from>
    <xdr:to>
      <xdr:col>11</xdr:col>
      <xdr:colOff>276225</xdr:colOff>
      <xdr:row>26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8191500" y="3476625"/>
          <a:ext cx="57150" cy="11144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8</xdr:col>
      <xdr:colOff>285750</xdr:colOff>
      <xdr:row>20</xdr:row>
      <xdr:rowOff>38100</xdr:rowOff>
    </xdr:from>
    <xdr:to>
      <xdr:col>8</xdr:col>
      <xdr:colOff>342900</xdr:colOff>
      <xdr:row>27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362700" y="3505200"/>
          <a:ext cx="57150" cy="1123950"/>
        </a:xfrm>
        <a:prstGeom prst="downArrow">
          <a:avLst>
            <a:gd name="adj1" fmla="val 31250"/>
            <a:gd name="adj2" fmla="val -20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8</xdr:col>
      <xdr:colOff>285750</xdr:colOff>
      <xdr:row>37</xdr:row>
      <xdr:rowOff>76200</xdr:rowOff>
    </xdr:from>
    <xdr:to>
      <xdr:col>11</xdr:col>
      <xdr:colOff>314325</xdr:colOff>
      <xdr:row>38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6362700" y="6429375"/>
          <a:ext cx="1924050" cy="200025"/>
        </a:xfrm>
        <a:prstGeom prst="leftRightArrow">
          <a:avLst>
            <a:gd name="adj1" fmla="val -41796"/>
            <a:gd name="adj2" fmla="val -8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26</xdr:row>
      <xdr:rowOff>28575</xdr:rowOff>
    </xdr:from>
    <xdr:to>
      <xdr:col>6</xdr:col>
      <xdr:colOff>590550</xdr:colOff>
      <xdr:row>33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5229225" y="4486275"/>
          <a:ext cx="114300" cy="1362075"/>
        </a:xfrm>
        <a:prstGeom prst="upDownArrow">
          <a:avLst>
            <a:gd name="adj1" fmla="val -7694"/>
            <a:gd name="adj2" fmla="val -435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37</xdr:row>
      <xdr:rowOff>133350</xdr:rowOff>
    </xdr:from>
    <xdr:to>
      <xdr:col>8</xdr:col>
      <xdr:colOff>247650</xdr:colOff>
      <xdr:row>38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5486400" y="6486525"/>
          <a:ext cx="838200" cy="8572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</a:p>
      </xdr:txBody>
    </xdr:sp>
    <xdr:clientData/>
  </xdr:twoCellAnchor>
  <xdr:twoCellAnchor>
    <xdr:from>
      <xdr:col>11</xdr:col>
      <xdr:colOff>323850</xdr:colOff>
      <xdr:row>37</xdr:row>
      <xdr:rowOff>123825</xdr:rowOff>
    </xdr:from>
    <xdr:to>
      <xdr:col>12</xdr:col>
      <xdr:colOff>581025</xdr:colOff>
      <xdr:row>38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8296275" y="6477000"/>
          <a:ext cx="866775" cy="7620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</a:p>
      </xdr:txBody>
    </xdr:sp>
    <xdr:clientData/>
  </xdr:twoCellAnchor>
  <xdr:twoCellAnchor>
    <xdr:from>
      <xdr:col>6</xdr:col>
      <xdr:colOff>504825</xdr:colOff>
      <xdr:row>23</xdr:row>
      <xdr:rowOff>0</xdr:rowOff>
    </xdr:from>
    <xdr:to>
      <xdr:col>6</xdr:col>
      <xdr:colOff>552450</xdr:colOff>
      <xdr:row>26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5257800" y="3962400"/>
          <a:ext cx="47625" cy="5048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33</xdr:row>
      <xdr:rowOff>152400</xdr:rowOff>
    </xdr:from>
    <xdr:to>
      <xdr:col>6</xdr:col>
      <xdr:colOff>552450</xdr:colOff>
      <xdr:row>36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5257800" y="5838825"/>
          <a:ext cx="47625" cy="5048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</xdr:row>
      <xdr:rowOff>104775</xdr:rowOff>
    </xdr:from>
    <xdr:to>
      <xdr:col>13</xdr:col>
      <xdr:colOff>0</xdr:colOff>
      <xdr:row>42</xdr:row>
      <xdr:rowOff>76200</xdr:rowOff>
    </xdr:to>
    <xdr:sp>
      <xdr:nvSpPr>
        <xdr:cNvPr id="9" name="AutoShape 9"/>
        <xdr:cNvSpPr>
          <a:spLocks/>
        </xdr:cNvSpPr>
      </xdr:nvSpPr>
      <xdr:spPr>
        <a:xfrm>
          <a:off x="5476875" y="6943725"/>
          <a:ext cx="3714750" cy="295275"/>
        </a:xfrm>
        <a:prstGeom prst="leftRightArrow">
          <a:avLst>
            <a:gd name="adj1" fmla="val -44777"/>
            <a:gd name="adj2" fmla="val -6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23</xdr:row>
      <xdr:rowOff>0</xdr:rowOff>
    </xdr:from>
    <xdr:to>
      <xdr:col>13</xdr:col>
      <xdr:colOff>409575</xdr:colOff>
      <xdr:row>36</xdr:row>
      <xdr:rowOff>161925</xdr:rowOff>
    </xdr:to>
    <xdr:sp>
      <xdr:nvSpPr>
        <xdr:cNvPr id="10" name="AutoShape 10"/>
        <xdr:cNvSpPr>
          <a:spLocks/>
        </xdr:cNvSpPr>
      </xdr:nvSpPr>
      <xdr:spPr>
        <a:xfrm>
          <a:off x="9401175" y="3962400"/>
          <a:ext cx="200025" cy="2381250"/>
        </a:xfrm>
        <a:prstGeom prst="upDownArrow">
          <a:avLst>
            <a:gd name="adj1" fmla="val -7143"/>
            <a:gd name="adj2" fmla="val -4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36</xdr:row>
      <xdr:rowOff>161925</xdr:rowOff>
    </xdr:from>
    <xdr:to>
      <xdr:col>8</xdr:col>
      <xdr:colOff>295275</xdr:colOff>
      <xdr:row>39</xdr:row>
      <xdr:rowOff>9525</xdr:rowOff>
    </xdr:to>
    <xdr:sp>
      <xdr:nvSpPr>
        <xdr:cNvPr id="11" name="Line 11"/>
        <xdr:cNvSpPr>
          <a:spLocks/>
        </xdr:cNvSpPr>
      </xdr:nvSpPr>
      <xdr:spPr>
        <a:xfrm>
          <a:off x="6362700" y="6343650"/>
          <a:ext cx="9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37</xdr:row>
      <xdr:rowOff>9525</xdr:rowOff>
    </xdr:from>
    <xdr:to>
      <xdr:col>11</xdr:col>
      <xdr:colOff>295275</xdr:colOff>
      <xdr:row>39</xdr:row>
      <xdr:rowOff>28575</xdr:rowOff>
    </xdr:to>
    <xdr:sp>
      <xdr:nvSpPr>
        <xdr:cNvPr id="12" name="Line 12"/>
        <xdr:cNvSpPr>
          <a:spLocks/>
        </xdr:cNvSpPr>
      </xdr:nvSpPr>
      <xdr:spPr>
        <a:xfrm>
          <a:off x="8258175" y="6362700"/>
          <a:ext cx="9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52</xdr:row>
      <xdr:rowOff>9525</xdr:rowOff>
    </xdr:from>
    <xdr:to>
      <xdr:col>18</xdr:col>
      <xdr:colOff>171450</xdr:colOff>
      <xdr:row>60</xdr:row>
      <xdr:rowOff>95250</xdr:rowOff>
    </xdr:to>
    <xdr:sp>
      <xdr:nvSpPr>
        <xdr:cNvPr id="13" name="Line 14"/>
        <xdr:cNvSpPr>
          <a:spLocks/>
        </xdr:cNvSpPr>
      </xdr:nvSpPr>
      <xdr:spPr>
        <a:xfrm>
          <a:off x="12439650" y="8943975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53</xdr:row>
      <xdr:rowOff>9525</xdr:rowOff>
    </xdr:from>
    <xdr:to>
      <xdr:col>18</xdr:col>
      <xdr:colOff>171450</xdr:colOff>
      <xdr:row>61</xdr:row>
      <xdr:rowOff>66675</xdr:rowOff>
    </xdr:to>
    <xdr:sp>
      <xdr:nvSpPr>
        <xdr:cNvPr id="14" name="Line 15"/>
        <xdr:cNvSpPr>
          <a:spLocks/>
        </xdr:cNvSpPr>
      </xdr:nvSpPr>
      <xdr:spPr>
        <a:xfrm>
          <a:off x="12439650" y="9105900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20</xdr:row>
      <xdr:rowOff>9525</xdr:rowOff>
    </xdr:from>
    <xdr:to>
      <xdr:col>11</xdr:col>
      <xdr:colOff>276225</xdr:colOff>
      <xdr:row>26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8191500" y="3476625"/>
          <a:ext cx="57150" cy="11144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8</xdr:col>
      <xdr:colOff>285750</xdr:colOff>
      <xdr:row>20</xdr:row>
      <xdr:rowOff>38100</xdr:rowOff>
    </xdr:from>
    <xdr:to>
      <xdr:col>8</xdr:col>
      <xdr:colOff>342900</xdr:colOff>
      <xdr:row>27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362700" y="3505200"/>
          <a:ext cx="57150" cy="1123950"/>
        </a:xfrm>
        <a:prstGeom prst="downArrow">
          <a:avLst>
            <a:gd name="adj1" fmla="val 31250"/>
            <a:gd name="adj2" fmla="val -20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8</xdr:col>
      <xdr:colOff>285750</xdr:colOff>
      <xdr:row>37</xdr:row>
      <xdr:rowOff>76200</xdr:rowOff>
    </xdr:from>
    <xdr:to>
      <xdr:col>11</xdr:col>
      <xdr:colOff>314325</xdr:colOff>
      <xdr:row>38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6362700" y="6429375"/>
          <a:ext cx="1924050" cy="200025"/>
        </a:xfrm>
        <a:prstGeom prst="leftRightArrow">
          <a:avLst>
            <a:gd name="adj1" fmla="val -41796"/>
            <a:gd name="adj2" fmla="val -8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26</xdr:row>
      <xdr:rowOff>28575</xdr:rowOff>
    </xdr:from>
    <xdr:to>
      <xdr:col>6</xdr:col>
      <xdr:colOff>590550</xdr:colOff>
      <xdr:row>33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5229225" y="4486275"/>
          <a:ext cx="114300" cy="1362075"/>
        </a:xfrm>
        <a:prstGeom prst="upDownArrow">
          <a:avLst>
            <a:gd name="adj1" fmla="val -7694"/>
            <a:gd name="adj2" fmla="val -435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37</xdr:row>
      <xdr:rowOff>133350</xdr:rowOff>
    </xdr:from>
    <xdr:to>
      <xdr:col>8</xdr:col>
      <xdr:colOff>247650</xdr:colOff>
      <xdr:row>38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5486400" y="6486525"/>
          <a:ext cx="838200" cy="8572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</a:p>
      </xdr:txBody>
    </xdr:sp>
    <xdr:clientData/>
  </xdr:twoCellAnchor>
  <xdr:twoCellAnchor>
    <xdr:from>
      <xdr:col>11</xdr:col>
      <xdr:colOff>323850</xdr:colOff>
      <xdr:row>37</xdr:row>
      <xdr:rowOff>123825</xdr:rowOff>
    </xdr:from>
    <xdr:to>
      <xdr:col>12</xdr:col>
      <xdr:colOff>581025</xdr:colOff>
      <xdr:row>38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8296275" y="6477000"/>
          <a:ext cx="866775" cy="7620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</a:p>
      </xdr:txBody>
    </xdr:sp>
    <xdr:clientData/>
  </xdr:twoCellAnchor>
  <xdr:twoCellAnchor>
    <xdr:from>
      <xdr:col>6</xdr:col>
      <xdr:colOff>504825</xdr:colOff>
      <xdr:row>23</xdr:row>
      <xdr:rowOff>0</xdr:rowOff>
    </xdr:from>
    <xdr:to>
      <xdr:col>6</xdr:col>
      <xdr:colOff>552450</xdr:colOff>
      <xdr:row>26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5257800" y="3962400"/>
          <a:ext cx="47625" cy="5048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33</xdr:row>
      <xdr:rowOff>152400</xdr:rowOff>
    </xdr:from>
    <xdr:to>
      <xdr:col>6</xdr:col>
      <xdr:colOff>552450</xdr:colOff>
      <xdr:row>36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5257800" y="5838825"/>
          <a:ext cx="47625" cy="5048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</xdr:row>
      <xdr:rowOff>104775</xdr:rowOff>
    </xdr:from>
    <xdr:to>
      <xdr:col>13</xdr:col>
      <xdr:colOff>0</xdr:colOff>
      <xdr:row>42</xdr:row>
      <xdr:rowOff>76200</xdr:rowOff>
    </xdr:to>
    <xdr:sp>
      <xdr:nvSpPr>
        <xdr:cNvPr id="9" name="AutoShape 9"/>
        <xdr:cNvSpPr>
          <a:spLocks/>
        </xdr:cNvSpPr>
      </xdr:nvSpPr>
      <xdr:spPr>
        <a:xfrm>
          <a:off x="5476875" y="6943725"/>
          <a:ext cx="3714750" cy="295275"/>
        </a:xfrm>
        <a:prstGeom prst="leftRightArrow">
          <a:avLst>
            <a:gd name="adj1" fmla="val -44777"/>
            <a:gd name="adj2" fmla="val -6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23</xdr:row>
      <xdr:rowOff>0</xdr:rowOff>
    </xdr:from>
    <xdr:to>
      <xdr:col>13</xdr:col>
      <xdr:colOff>409575</xdr:colOff>
      <xdr:row>36</xdr:row>
      <xdr:rowOff>161925</xdr:rowOff>
    </xdr:to>
    <xdr:sp>
      <xdr:nvSpPr>
        <xdr:cNvPr id="10" name="AutoShape 10"/>
        <xdr:cNvSpPr>
          <a:spLocks/>
        </xdr:cNvSpPr>
      </xdr:nvSpPr>
      <xdr:spPr>
        <a:xfrm>
          <a:off x="9401175" y="3962400"/>
          <a:ext cx="200025" cy="2381250"/>
        </a:xfrm>
        <a:prstGeom prst="upDownArrow">
          <a:avLst>
            <a:gd name="adj1" fmla="val -7143"/>
            <a:gd name="adj2" fmla="val -4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36</xdr:row>
      <xdr:rowOff>161925</xdr:rowOff>
    </xdr:from>
    <xdr:to>
      <xdr:col>8</xdr:col>
      <xdr:colOff>295275</xdr:colOff>
      <xdr:row>39</xdr:row>
      <xdr:rowOff>9525</xdr:rowOff>
    </xdr:to>
    <xdr:sp>
      <xdr:nvSpPr>
        <xdr:cNvPr id="11" name="Line 11"/>
        <xdr:cNvSpPr>
          <a:spLocks/>
        </xdr:cNvSpPr>
      </xdr:nvSpPr>
      <xdr:spPr>
        <a:xfrm>
          <a:off x="6362700" y="6343650"/>
          <a:ext cx="9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37</xdr:row>
      <xdr:rowOff>9525</xdr:rowOff>
    </xdr:from>
    <xdr:to>
      <xdr:col>11</xdr:col>
      <xdr:colOff>295275</xdr:colOff>
      <xdr:row>39</xdr:row>
      <xdr:rowOff>28575</xdr:rowOff>
    </xdr:to>
    <xdr:sp>
      <xdr:nvSpPr>
        <xdr:cNvPr id="12" name="Line 12"/>
        <xdr:cNvSpPr>
          <a:spLocks/>
        </xdr:cNvSpPr>
      </xdr:nvSpPr>
      <xdr:spPr>
        <a:xfrm>
          <a:off x="8258175" y="6362700"/>
          <a:ext cx="9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52</xdr:row>
      <xdr:rowOff>9525</xdr:rowOff>
    </xdr:from>
    <xdr:to>
      <xdr:col>18</xdr:col>
      <xdr:colOff>171450</xdr:colOff>
      <xdr:row>60</xdr:row>
      <xdr:rowOff>95250</xdr:rowOff>
    </xdr:to>
    <xdr:sp>
      <xdr:nvSpPr>
        <xdr:cNvPr id="13" name="Line 14"/>
        <xdr:cNvSpPr>
          <a:spLocks/>
        </xdr:cNvSpPr>
      </xdr:nvSpPr>
      <xdr:spPr>
        <a:xfrm>
          <a:off x="12439650" y="8943975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53</xdr:row>
      <xdr:rowOff>9525</xdr:rowOff>
    </xdr:from>
    <xdr:to>
      <xdr:col>18</xdr:col>
      <xdr:colOff>171450</xdr:colOff>
      <xdr:row>61</xdr:row>
      <xdr:rowOff>66675</xdr:rowOff>
    </xdr:to>
    <xdr:sp>
      <xdr:nvSpPr>
        <xdr:cNvPr id="14" name="Line 15"/>
        <xdr:cNvSpPr>
          <a:spLocks/>
        </xdr:cNvSpPr>
      </xdr:nvSpPr>
      <xdr:spPr>
        <a:xfrm>
          <a:off x="12439650" y="9105900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247650</xdr:colOff>
      <xdr:row>19</xdr:row>
      <xdr:rowOff>66675</xdr:rowOff>
    </xdr:from>
    <xdr:to>
      <xdr:col>11</xdr:col>
      <xdr:colOff>304800</xdr:colOff>
      <xdr:row>26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8220075" y="3390900"/>
          <a:ext cx="57150" cy="11144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8</xdr:col>
      <xdr:colOff>276225</xdr:colOff>
      <xdr:row>19</xdr:row>
      <xdr:rowOff>66675</xdr:rowOff>
    </xdr:from>
    <xdr:to>
      <xdr:col>8</xdr:col>
      <xdr:colOff>333375</xdr:colOff>
      <xdr:row>25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6353175" y="3390900"/>
          <a:ext cx="57150" cy="1066800"/>
        </a:xfrm>
        <a:prstGeom prst="downArrow">
          <a:avLst>
            <a:gd name="adj1" fmla="val 31250"/>
            <a:gd name="adj2" fmla="val -20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8</xdr:col>
      <xdr:colOff>285750</xdr:colOff>
      <xdr:row>36</xdr:row>
      <xdr:rowOff>76200</xdr:rowOff>
    </xdr:from>
    <xdr:to>
      <xdr:col>11</xdr:col>
      <xdr:colOff>314325</xdr:colOff>
      <xdr:row>37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6362700" y="6286500"/>
          <a:ext cx="1924050" cy="200025"/>
        </a:xfrm>
        <a:prstGeom prst="leftRightArrow">
          <a:avLst>
            <a:gd name="adj1" fmla="val -41796"/>
            <a:gd name="adj2" fmla="val -8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25</xdr:row>
      <xdr:rowOff>28575</xdr:rowOff>
    </xdr:from>
    <xdr:to>
      <xdr:col>6</xdr:col>
      <xdr:colOff>590550</xdr:colOff>
      <xdr:row>32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5229225" y="4343400"/>
          <a:ext cx="114300" cy="1362075"/>
        </a:xfrm>
        <a:prstGeom prst="upDownArrow">
          <a:avLst>
            <a:gd name="adj1" fmla="val -7694"/>
            <a:gd name="adj2" fmla="val -435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36</xdr:row>
      <xdr:rowOff>133350</xdr:rowOff>
    </xdr:from>
    <xdr:to>
      <xdr:col>8</xdr:col>
      <xdr:colOff>247650</xdr:colOff>
      <xdr:row>37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5486400" y="6343650"/>
          <a:ext cx="838200" cy="8572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</a:p>
      </xdr:txBody>
    </xdr:sp>
    <xdr:clientData/>
  </xdr:twoCellAnchor>
  <xdr:twoCellAnchor>
    <xdr:from>
      <xdr:col>11</xdr:col>
      <xdr:colOff>323850</xdr:colOff>
      <xdr:row>36</xdr:row>
      <xdr:rowOff>123825</xdr:rowOff>
    </xdr:from>
    <xdr:to>
      <xdr:col>12</xdr:col>
      <xdr:colOff>581025</xdr:colOff>
      <xdr:row>37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8296275" y="6334125"/>
          <a:ext cx="866775" cy="7620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</a:p>
      </xdr:txBody>
    </xdr:sp>
    <xdr:clientData/>
  </xdr:twoCellAnchor>
  <xdr:twoCellAnchor>
    <xdr:from>
      <xdr:col>6</xdr:col>
      <xdr:colOff>504825</xdr:colOff>
      <xdr:row>22</xdr:row>
      <xdr:rowOff>0</xdr:rowOff>
    </xdr:from>
    <xdr:to>
      <xdr:col>6</xdr:col>
      <xdr:colOff>552450</xdr:colOff>
      <xdr:row>25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5257800" y="3819525"/>
          <a:ext cx="47625" cy="5048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32</xdr:row>
      <xdr:rowOff>152400</xdr:rowOff>
    </xdr:from>
    <xdr:to>
      <xdr:col>6</xdr:col>
      <xdr:colOff>552450</xdr:colOff>
      <xdr:row>35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5257800" y="5695950"/>
          <a:ext cx="47625" cy="5048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39</xdr:row>
      <xdr:rowOff>104775</xdr:rowOff>
    </xdr:from>
    <xdr:to>
      <xdr:col>13</xdr:col>
      <xdr:colOff>0</xdr:colOff>
      <xdr:row>41</xdr:row>
      <xdr:rowOff>76200</xdr:rowOff>
    </xdr:to>
    <xdr:sp>
      <xdr:nvSpPr>
        <xdr:cNvPr id="9" name="AutoShape 9"/>
        <xdr:cNvSpPr>
          <a:spLocks/>
        </xdr:cNvSpPr>
      </xdr:nvSpPr>
      <xdr:spPr>
        <a:xfrm>
          <a:off x="5476875" y="6800850"/>
          <a:ext cx="3714750" cy="295275"/>
        </a:xfrm>
        <a:prstGeom prst="leftRightArrow">
          <a:avLst>
            <a:gd name="adj1" fmla="val -44777"/>
            <a:gd name="adj2" fmla="val -6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22</xdr:row>
      <xdr:rowOff>0</xdr:rowOff>
    </xdr:from>
    <xdr:to>
      <xdr:col>13</xdr:col>
      <xdr:colOff>409575</xdr:colOff>
      <xdr:row>35</xdr:row>
      <xdr:rowOff>161925</xdr:rowOff>
    </xdr:to>
    <xdr:sp>
      <xdr:nvSpPr>
        <xdr:cNvPr id="10" name="AutoShape 10"/>
        <xdr:cNvSpPr>
          <a:spLocks/>
        </xdr:cNvSpPr>
      </xdr:nvSpPr>
      <xdr:spPr>
        <a:xfrm>
          <a:off x="9401175" y="3819525"/>
          <a:ext cx="200025" cy="2381250"/>
        </a:xfrm>
        <a:prstGeom prst="upDownArrow">
          <a:avLst>
            <a:gd name="adj1" fmla="val -7143"/>
            <a:gd name="adj2" fmla="val -4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35</xdr:row>
      <xdr:rowOff>161925</xdr:rowOff>
    </xdr:from>
    <xdr:to>
      <xdr:col>8</xdr:col>
      <xdr:colOff>295275</xdr:colOff>
      <xdr:row>38</xdr:row>
      <xdr:rowOff>9525</xdr:rowOff>
    </xdr:to>
    <xdr:sp>
      <xdr:nvSpPr>
        <xdr:cNvPr id="11" name="Line 11"/>
        <xdr:cNvSpPr>
          <a:spLocks/>
        </xdr:cNvSpPr>
      </xdr:nvSpPr>
      <xdr:spPr>
        <a:xfrm>
          <a:off x="6362700" y="6200775"/>
          <a:ext cx="9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36</xdr:row>
      <xdr:rowOff>9525</xdr:rowOff>
    </xdr:from>
    <xdr:to>
      <xdr:col>11</xdr:col>
      <xdr:colOff>295275</xdr:colOff>
      <xdr:row>38</xdr:row>
      <xdr:rowOff>28575</xdr:rowOff>
    </xdr:to>
    <xdr:sp>
      <xdr:nvSpPr>
        <xdr:cNvPr id="12" name="Line 12"/>
        <xdr:cNvSpPr>
          <a:spLocks/>
        </xdr:cNvSpPr>
      </xdr:nvSpPr>
      <xdr:spPr>
        <a:xfrm>
          <a:off x="8258175" y="6219825"/>
          <a:ext cx="9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25</xdr:row>
      <xdr:rowOff>19050</xdr:rowOff>
    </xdr:from>
    <xdr:to>
      <xdr:col>7</xdr:col>
      <xdr:colOff>314325</xdr:colOff>
      <xdr:row>33</xdr:row>
      <xdr:rowOff>19050</xdr:rowOff>
    </xdr:to>
    <xdr:sp>
      <xdr:nvSpPr>
        <xdr:cNvPr id="13" name="Line 13"/>
        <xdr:cNvSpPr>
          <a:spLocks/>
        </xdr:cNvSpPr>
      </xdr:nvSpPr>
      <xdr:spPr>
        <a:xfrm>
          <a:off x="5762625" y="4333875"/>
          <a:ext cx="190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24</xdr:row>
      <xdr:rowOff>161925</xdr:rowOff>
    </xdr:from>
    <xdr:to>
      <xdr:col>9</xdr:col>
      <xdr:colOff>295275</xdr:colOff>
      <xdr:row>32</xdr:row>
      <xdr:rowOff>152400</xdr:rowOff>
    </xdr:to>
    <xdr:sp>
      <xdr:nvSpPr>
        <xdr:cNvPr id="14" name="Line 14"/>
        <xdr:cNvSpPr>
          <a:spLocks/>
        </xdr:cNvSpPr>
      </xdr:nvSpPr>
      <xdr:spPr>
        <a:xfrm>
          <a:off x="6972300" y="4305300"/>
          <a:ext cx="952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25</xdr:row>
      <xdr:rowOff>19050</xdr:rowOff>
    </xdr:from>
    <xdr:to>
      <xdr:col>10</xdr:col>
      <xdr:colOff>285750</xdr:colOff>
      <xdr:row>33</xdr:row>
      <xdr:rowOff>19050</xdr:rowOff>
    </xdr:to>
    <xdr:sp>
      <xdr:nvSpPr>
        <xdr:cNvPr id="15" name="Line 15"/>
        <xdr:cNvSpPr>
          <a:spLocks/>
        </xdr:cNvSpPr>
      </xdr:nvSpPr>
      <xdr:spPr>
        <a:xfrm>
          <a:off x="7639050" y="4333875"/>
          <a:ext cx="9525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24</xdr:row>
      <xdr:rowOff>142875</xdr:rowOff>
    </xdr:from>
    <xdr:to>
      <xdr:col>12</xdr:col>
      <xdr:colOff>333375</xdr:colOff>
      <xdr:row>33</xdr:row>
      <xdr:rowOff>19050</xdr:rowOff>
    </xdr:to>
    <xdr:sp>
      <xdr:nvSpPr>
        <xdr:cNvPr id="16" name="Line 16"/>
        <xdr:cNvSpPr>
          <a:spLocks/>
        </xdr:cNvSpPr>
      </xdr:nvSpPr>
      <xdr:spPr>
        <a:xfrm>
          <a:off x="8886825" y="4286250"/>
          <a:ext cx="2857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B2:AA90"/>
  <sheetViews>
    <sheetView zoomScale="85" zoomScaleNormal="85" zoomScalePageLayoutView="0" workbookViewId="0" topLeftCell="B1">
      <selection activeCell="D5" sqref="D5:AA5"/>
    </sheetView>
  </sheetViews>
  <sheetFormatPr defaultColWidth="9.140625" defaultRowHeight="12.75"/>
  <cols>
    <col min="3" max="3" width="22.7109375" style="0" customWidth="1"/>
    <col min="4" max="4" width="12.00390625" style="0" customWidth="1"/>
    <col min="7" max="7" width="10.7109375" style="0" customWidth="1"/>
    <col min="10" max="10" width="10.140625" style="0" bestFit="1" customWidth="1"/>
    <col min="14" max="14" width="9.57421875" style="0" customWidth="1"/>
  </cols>
  <sheetData>
    <row r="2" spans="2:14" ht="18" customHeight="1">
      <c r="B2" s="150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2:14" ht="12.75"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2:27" ht="15.75">
      <c r="B4" s="10" t="s">
        <v>1</v>
      </c>
      <c r="C4" s="11"/>
      <c r="D4" s="166"/>
      <c r="E4" s="167"/>
      <c r="F4" s="167"/>
      <c r="G4" s="167"/>
      <c r="H4" s="167"/>
      <c r="I4" s="167"/>
      <c r="J4" s="168"/>
      <c r="K4" s="13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2:27" ht="12.75">
      <c r="B5" s="148" t="s">
        <v>66</v>
      </c>
      <c r="C5" s="149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</row>
    <row r="6" spans="2:27" ht="12.75">
      <c r="B6" s="148" t="s">
        <v>26</v>
      </c>
      <c r="C6" s="149"/>
      <c r="D6" s="169"/>
      <c r="E6" s="170"/>
      <c r="F6" s="170"/>
      <c r="G6" s="170"/>
      <c r="H6" s="170"/>
      <c r="I6" s="170"/>
      <c r="J6" s="171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2:27" ht="12.75">
      <c r="B7" s="66" t="s">
        <v>71</v>
      </c>
      <c r="C7" s="66"/>
      <c r="D7" s="70" t="s">
        <v>89</v>
      </c>
      <c r="E7" s="67"/>
      <c r="F7" s="67"/>
      <c r="G7" s="67"/>
      <c r="H7" s="67"/>
      <c r="I7" s="67"/>
      <c r="J7" s="67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</row>
    <row r="8" spans="2:27" ht="12.75">
      <c r="B8" s="66"/>
      <c r="C8" s="66"/>
      <c r="D8" s="69" t="s">
        <v>64</v>
      </c>
      <c r="E8" s="69" t="s">
        <v>65</v>
      </c>
      <c r="F8" s="67"/>
      <c r="G8" s="67"/>
      <c r="H8" s="67"/>
      <c r="I8" s="67"/>
      <c r="J8" s="67"/>
      <c r="K8" s="68"/>
      <c r="L8" s="155" t="s">
        <v>92</v>
      </c>
      <c r="M8" s="155"/>
      <c r="N8" s="155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</row>
    <row r="9" spans="2:27" ht="12.75">
      <c r="B9" s="126" t="s">
        <v>70</v>
      </c>
      <c r="C9" s="126"/>
      <c r="D9" s="118">
        <v>400</v>
      </c>
      <c r="E9" s="118">
        <v>400</v>
      </c>
      <c r="F9" s="67"/>
      <c r="G9" s="67"/>
      <c r="H9" s="67"/>
      <c r="I9" s="67"/>
      <c r="J9" s="67"/>
      <c r="K9" s="68"/>
      <c r="L9" s="40"/>
      <c r="M9" s="40"/>
      <c r="N9" s="40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</row>
    <row r="10" spans="2:5" ht="12.75">
      <c r="B10" s="127"/>
      <c r="C10" s="127"/>
      <c r="D10" s="8">
        <v>750</v>
      </c>
      <c r="E10" s="8">
        <v>900</v>
      </c>
    </row>
    <row r="11" spans="2:15" ht="12.75">
      <c r="B11" s="132" t="s">
        <v>2</v>
      </c>
      <c r="C11" s="132"/>
      <c r="D11" s="9" t="s">
        <v>3</v>
      </c>
      <c r="E11" s="9" t="s">
        <v>4</v>
      </c>
      <c r="H11" s="47" t="s">
        <v>48</v>
      </c>
      <c r="I11" s="48">
        <v>500</v>
      </c>
      <c r="L11" s="155" t="s">
        <v>81</v>
      </c>
      <c r="M11" s="155"/>
      <c r="N11" s="82">
        <f>E12*D34/(D12+E12)</f>
        <v>3.0903125</v>
      </c>
      <c r="O11" s="91" t="s">
        <v>82</v>
      </c>
    </row>
    <row r="12" spans="2:15" ht="15">
      <c r="B12" s="142"/>
      <c r="C12" s="142"/>
      <c r="D12" s="71">
        <v>280</v>
      </c>
      <c r="E12" s="71">
        <v>232</v>
      </c>
      <c r="H12" s="49" t="s">
        <v>49</v>
      </c>
      <c r="I12" s="50">
        <v>40</v>
      </c>
      <c r="N12" s="99">
        <f>N11*304.8</f>
        <v>941.9272500000001</v>
      </c>
      <c r="O12" s="97" t="s">
        <v>54</v>
      </c>
    </row>
    <row r="13" spans="2:4" ht="12.75">
      <c r="B13" s="132" t="s">
        <v>8</v>
      </c>
      <c r="C13" s="132"/>
      <c r="D13" s="4">
        <f>D12+E12</f>
        <v>512</v>
      </c>
    </row>
    <row r="14" spans="2:4" ht="12.75">
      <c r="B14" s="132" t="s">
        <v>5</v>
      </c>
      <c r="C14" s="132"/>
      <c r="D14" s="4">
        <v>5</v>
      </c>
    </row>
    <row r="15" spans="2:16" ht="15">
      <c r="B15" s="154" t="s">
        <v>6</v>
      </c>
      <c r="C15" s="154"/>
      <c r="D15" s="64">
        <f>D13*1.1/(D14)</f>
        <v>112.64000000000001</v>
      </c>
      <c r="H15" s="47" t="s">
        <v>17</v>
      </c>
      <c r="I15" s="72">
        <v>9.03</v>
      </c>
      <c r="J15" s="99">
        <f>I15*0.3048</f>
        <v>2.752344</v>
      </c>
      <c r="K15" s="97" t="s">
        <v>93</v>
      </c>
      <c r="M15" s="129" t="s">
        <v>103</v>
      </c>
      <c r="N15" s="129"/>
      <c r="O15" s="107" t="s">
        <v>104</v>
      </c>
      <c r="P15" s="108"/>
    </row>
    <row r="16" spans="2:16" ht="15">
      <c r="B16" s="131" t="s">
        <v>7</v>
      </c>
      <c r="C16" s="131"/>
      <c r="D16" s="3">
        <f>I16*I15</f>
        <v>118.5639</v>
      </c>
      <c r="E16" s="130" t="str">
        <f>IF(D16&gt;D15,"O.K","PLEASE CHECK")</f>
        <v>O.K</v>
      </c>
      <c r="F16" s="130"/>
      <c r="H16" s="49" t="s">
        <v>18</v>
      </c>
      <c r="I16" s="73">
        <v>13.13</v>
      </c>
      <c r="J16" s="99">
        <f>I16*0.3048</f>
        <v>4.0020240000000005</v>
      </c>
      <c r="K16" s="97" t="s">
        <v>93</v>
      </c>
      <c r="M16" s="128" t="s">
        <v>109</v>
      </c>
      <c r="N16" s="128"/>
      <c r="O16" s="114">
        <v>0.8</v>
      </c>
      <c r="P16" s="109" t="s">
        <v>108</v>
      </c>
    </row>
    <row r="17" spans="2:16" ht="12.75">
      <c r="B17" s="132" t="s">
        <v>86</v>
      </c>
      <c r="C17" s="132"/>
      <c r="D17" s="6">
        <f>D13*2204/D16</f>
        <v>9517.635637829053</v>
      </c>
      <c r="F17" s="82">
        <f>D13/D16</f>
        <v>4.318346478143853</v>
      </c>
      <c r="G17" s="46" t="s">
        <v>87</v>
      </c>
      <c r="M17" s="128" t="s">
        <v>105</v>
      </c>
      <c r="N17" s="128"/>
      <c r="O17" s="114">
        <v>0.98</v>
      </c>
      <c r="P17" s="109" t="s">
        <v>108</v>
      </c>
    </row>
    <row r="18" spans="2:16" ht="12.75">
      <c r="B18" s="142"/>
      <c r="C18" s="142"/>
      <c r="F18" s="81" t="str">
        <f>IF(F17&lt;D14,"SAFE")</f>
        <v>SAFE</v>
      </c>
      <c r="G18" s="46" t="s">
        <v>88</v>
      </c>
      <c r="M18" s="128" t="s">
        <v>106</v>
      </c>
      <c r="N18" s="128"/>
      <c r="O18" s="114">
        <v>1.15</v>
      </c>
      <c r="P18" s="109" t="s">
        <v>108</v>
      </c>
    </row>
    <row r="19" spans="2:16" ht="15.75">
      <c r="B19" s="152" t="s">
        <v>9</v>
      </c>
      <c r="C19" s="152"/>
      <c r="D19" s="152"/>
      <c r="E19" s="152"/>
      <c r="M19" s="128" t="s">
        <v>107</v>
      </c>
      <c r="N19" s="128"/>
      <c r="O19" s="114">
        <v>1.32</v>
      </c>
      <c r="P19" s="109" t="s">
        <v>108</v>
      </c>
    </row>
    <row r="20" spans="2:12" ht="12.75">
      <c r="B20" s="132" t="s">
        <v>10</v>
      </c>
      <c r="C20" s="132"/>
      <c r="D20" s="88">
        <f>G25</f>
        <v>3.0149999999999997</v>
      </c>
      <c r="E20" s="92">
        <f>D20*0.3048</f>
        <v>0.9189719999999999</v>
      </c>
      <c r="F20" s="93" t="s">
        <v>93</v>
      </c>
      <c r="I20" s="40">
        <f>D12</f>
        <v>280</v>
      </c>
      <c r="L20" s="40">
        <f>E12</f>
        <v>232</v>
      </c>
    </row>
    <row r="21" spans="2:6" ht="12.75">
      <c r="B21" s="132" t="s">
        <v>11</v>
      </c>
      <c r="C21" s="132"/>
      <c r="D21" s="6">
        <f>D17*D20*D20*6</f>
        <v>519104.69649530755</v>
      </c>
      <c r="E21" s="94">
        <f>D21*0.000113</f>
        <v>58.65883070396975</v>
      </c>
      <c r="F21" s="93" t="s">
        <v>94</v>
      </c>
    </row>
    <row r="22" spans="2:6" ht="12.75">
      <c r="B22" s="132" t="s">
        <v>12</v>
      </c>
      <c r="C22" s="132"/>
      <c r="D22" s="7">
        <f>SQRT((D21)/(O19*145*12))</f>
        <v>15.033700336561218</v>
      </c>
      <c r="E22" s="95">
        <f>D22*25.4</f>
        <v>381.8559885486549</v>
      </c>
      <c r="F22" s="93" t="s">
        <v>54</v>
      </c>
    </row>
    <row r="23" spans="2:6" ht="13.5" thickBot="1">
      <c r="B23" s="142"/>
      <c r="C23" s="142"/>
      <c r="E23" s="93"/>
      <c r="F23" s="93"/>
    </row>
    <row r="24" spans="2:15" ht="12.75">
      <c r="B24" s="132" t="s">
        <v>13</v>
      </c>
      <c r="C24" s="132"/>
      <c r="D24" s="1">
        <v>24</v>
      </c>
      <c r="E24" s="93">
        <f>D24*25</f>
        <v>600</v>
      </c>
      <c r="F24" s="93" t="s">
        <v>54</v>
      </c>
      <c r="G24" s="38"/>
      <c r="H24" s="136"/>
      <c r="I24" s="133"/>
      <c r="J24" s="133"/>
      <c r="K24" s="133"/>
      <c r="L24" s="133"/>
      <c r="M24" s="137"/>
      <c r="N24" s="59"/>
      <c r="O24" s="42"/>
    </row>
    <row r="25" spans="2:13" ht="12.75">
      <c r="B25" s="132" t="s">
        <v>14</v>
      </c>
      <c r="C25" s="132"/>
      <c r="D25" s="5">
        <f>D24-2</f>
        <v>22</v>
      </c>
      <c r="E25" s="95">
        <f>E24-40</f>
        <v>560</v>
      </c>
      <c r="F25" s="93" t="s">
        <v>54</v>
      </c>
      <c r="G25" s="122">
        <f>(N30-G31)/2</f>
        <v>3.0149999999999997</v>
      </c>
      <c r="H25" s="138"/>
      <c r="I25" s="134"/>
      <c r="J25" s="134"/>
      <c r="K25" s="134"/>
      <c r="L25" s="134"/>
      <c r="M25" s="139"/>
    </row>
    <row r="26" spans="2:13" ht="13.5" thickBot="1">
      <c r="B26" s="142"/>
      <c r="C26" s="142"/>
      <c r="E26" s="93"/>
      <c r="F26" s="93"/>
      <c r="G26" s="39"/>
      <c r="H26" s="140"/>
      <c r="I26" s="135"/>
      <c r="J26" s="135"/>
      <c r="K26" s="135"/>
      <c r="L26" s="135"/>
      <c r="M26" s="141"/>
    </row>
    <row r="27" spans="2:13" ht="13.5" thickBot="1">
      <c r="B27" s="132" t="s">
        <v>95</v>
      </c>
      <c r="C27" s="132"/>
      <c r="D27" s="22">
        <f>D21/(39885*0.91*D25)</f>
        <v>0.6501016803120505</v>
      </c>
      <c r="E27" s="94">
        <f>D27*645</f>
        <v>419.31558380127257</v>
      </c>
      <c r="F27" s="93" t="s">
        <v>33</v>
      </c>
      <c r="G27" s="33"/>
      <c r="H27" s="136"/>
      <c r="I27" s="90"/>
      <c r="J27" s="133"/>
      <c r="K27" s="133"/>
      <c r="L27" s="90"/>
      <c r="M27" s="137"/>
    </row>
    <row r="28" spans="2:13" ht="12.75">
      <c r="B28" s="142"/>
      <c r="C28" s="142"/>
      <c r="D28" s="18"/>
      <c r="E28" s="93"/>
      <c r="F28" s="93"/>
      <c r="G28" s="33"/>
      <c r="H28" s="138"/>
      <c r="I28" s="143"/>
      <c r="J28" s="134"/>
      <c r="K28" s="134"/>
      <c r="L28" s="143"/>
      <c r="M28" s="139"/>
    </row>
    <row r="29" spans="2:13" ht="12.75">
      <c r="B29" s="132" t="s">
        <v>96</v>
      </c>
      <c r="C29" s="132"/>
      <c r="D29" s="22">
        <f>12*0.17/(D27)</f>
        <v>3.137970661790621</v>
      </c>
      <c r="E29" s="95">
        <f>D29*25.4</f>
        <v>79.70445480948177</v>
      </c>
      <c r="F29" s="93" t="s">
        <v>54</v>
      </c>
      <c r="G29" s="33"/>
      <c r="H29" s="138"/>
      <c r="I29" s="144"/>
      <c r="J29" s="134"/>
      <c r="K29" s="134"/>
      <c r="L29" s="144"/>
      <c r="M29" s="139"/>
    </row>
    <row r="30" spans="2:16" ht="15.75">
      <c r="B30" s="132" t="s">
        <v>97</v>
      </c>
      <c r="C30" s="132"/>
      <c r="D30" s="22">
        <f>12*0.31/(D27)</f>
        <v>5.722181795029956</v>
      </c>
      <c r="E30" s="95">
        <f>D30*25.4</f>
        <v>145.34341759376088</v>
      </c>
      <c r="F30" s="93" t="s">
        <v>54</v>
      </c>
      <c r="G30" s="33"/>
      <c r="H30" s="138"/>
      <c r="I30" s="144"/>
      <c r="J30" s="134"/>
      <c r="K30" s="134"/>
      <c r="L30" s="144"/>
      <c r="M30" s="139"/>
      <c r="N30" s="125">
        <f>I15</f>
        <v>9.03</v>
      </c>
      <c r="O30" s="46"/>
      <c r="P30" s="40"/>
    </row>
    <row r="31" spans="2:13" ht="12.75">
      <c r="B31" s="130" t="s">
        <v>120</v>
      </c>
      <c r="C31" s="130"/>
      <c r="D31" s="130"/>
      <c r="E31" s="130"/>
      <c r="G31" s="58">
        <f>D36/12</f>
        <v>3</v>
      </c>
      <c r="H31" s="138"/>
      <c r="I31" s="144"/>
      <c r="J31" s="134"/>
      <c r="K31" s="134"/>
      <c r="L31" s="144"/>
      <c r="M31" s="139"/>
    </row>
    <row r="32" spans="2:13" ht="12.75">
      <c r="B32" s="142"/>
      <c r="C32" s="142"/>
      <c r="D32" s="142"/>
      <c r="G32" s="33"/>
      <c r="H32" s="138"/>
      <c r="I32" s="144"/>
      <c r="J32" s="134"/>
      <c r="K32" s="134"/>
      <c r="L32" s="144"/>
      <c r="M32" s="139"/>
    </row>
    <row r="33" spans="2:13" ht="16.5" thickBot="1">
      <c r="B33" s="152" t="s">
        <v>15</v>
      </c>
      <c r="C33" s="152"/>
      <c r="D33" s="152"/>
      <c r="G33" s="33"/>
      <c r="H33" s="138"/>
      <c r="I33" s="145"/>
      <c r="J33" s="134"/>
      <c r="K33" s="134"/>
      <c r="L33" s="145"/>
      <c r="M33" s="139"/>
    </row>
    <row r="34" spans="2:13" ht="13.5" thickBot="1">
      <c r="B34" s="132" t="s">
        <v>10</v>
      </c>
      <c r="C34" s="132"/>
      <c r="D34" s="4">
        <v>6.82</v>
      </c>
      <c r="E34" s="96">
        <f>D34*0.3048</f>
        <v>2.078736</v>
      </c>
      <c r="F34" s="97" t="s">
        <v>93</v>
      </c>
      <c r="G34" s="33"/>
      <c r="H34" s="140"/>
      <c r="I34" s="89"/>
      <c r="J34" s="135"/>
      <c r="K34" s="135"/>
      <c r="L34" s="89"/>
      <c r="M34" s="141"/>
    </row>
    <row r="35" spans="2:13" ht="12.75">
      <c r="B35" s="158"/>
      <c r="C35" s="158"/>
      <c r="D35" s="9" t="s">
        <v>24</v>
      </c>
      <c r="E35" s="9" t="s">
        <v>25</v>
      </c>
      <c r="G35" s="38"/>
      <c r="H35" s="133"/>
      <c r="I35" s="133"/>
      <c r="J35" s="133"/>
      <c r="K35" s="133"/>
      <c r="L35" s="133"/>
      <c r="M35" s="137"/>
    </row>
    <row r="36" spans="2:13" ht="12.75">
      <c r="B36" s="132" t="s">
        <v>23</v>
      </c>
      <c r="C36" s="132"/>
      <c r="D36" s="8">
        <v>36</v>
      </c>
      <c r="E36" s="1">
        <v>36</v>
      </c>
      <c r="F36" s="5" t="s">
        <v>42</v>
      </c>
      <c r="G36" s="122">
        <f>(N30-G31)/2</f>
        <v>3.0149999999999997</v>
      </c>
      <c r="H36" s="142"/>
      <c r="I36" s="142"/>
      <c r="J36" s="142"/>
      <c r="K36" s="142"/>
      <c r="L36" s="142"/>
      <c r="M36" s="139"/>
    </row>
    <row r="37" spans="2:15" ht="13.5" thickBot="1">
      <c r="B37" s="158"/>
      <c r="C37" s="158"/>
      <c r="D37" s="103">
        <f>D36*25</f>
        <v>900</v>
      </c>
      <c r="E37" s="97">
        <f>E36*25</f>
        <v>900</v>
      </c>
      <c r="F37" s="97" t="s">
        <v>41</v>
      </c>
      <c r="G37" s="37"/>
      <c r="H37" s="135"/>
      <c r="I37" s="135"/>
      <c r="J37" s="135"/>
      <c r="K37" s="135"/>
      <c r="L37" s="135"/>
      <c r="M37" s="141"/>
      <c r="N37" s="78"/>
      <c r="O37" s="41"/>
    </row>
    <row r="38" spans="2:13" ht="12.75">
      <c r="B38" s="132" t="s">
        <v>16</v>
      </c>
      <c r="C38" s="132"/>
      <c r="H38" s="74"/>
      <c r="I38" s="34"/>
      <c r="L38" s="76"/>
      <c r="M38" s="77"/>
    </row>
    <row r="39" spans="2:13" ht="12.75">
      <c r="B39" s="132" t="s">
        <v>19</v>
      </c>
      <c r="C39" s="132"/>
      <c r="D39" s="45">
        <f>D17*(G25+G36)</f>
        <v>57391.342896109185</v>
      </c>
      <c r="E39" s="98">
        <f>D39*0.014594</f>
        <v>837.5692582258174</v>
      </c>
      <c r="F39" s="97" t="s">
        <v>98</v>
      </c>
      <c r="H39" s="120">
        <f>(J43/2)-N11</f>
        <v>3.4746875000000004</v>
      </c>
      <c r="I39" s="35"/>
      <c r="J39" s="146">
        <f>D34</f>
        <v>6.82</v>
      </c>
      <c r="K39" s="147"/>
      <c r="L39" s="75"/>
      <c r="M39" s="121">
        <f>(J43-H39-J39)</f>
        <v>2.8353125000000006</v>
      </c>
    </row>
    <row r="40" spans="2:6" ht="12.75">
      <c r="B40" s="132" t="s">
        <v>21</v>
      </c>
      <c r="C40" s="132"/>
      <c r="D40" s="6">
        <f>D39*D34*D34</f>
        <v>2669409.0973209892</v>
      </c>
      <c r="E40" s="99">
        <f>D40*0.000113</f>
        <v>301.64322799727177</v>
      </c>
      <c r="F40" s="97" t="s">
        <v>94</v>
      </c>
    </row>
    <row r="41" spans="2:8" ht="12.75">
      <c r="B41" s="132" t="s">
        <v>20</v>
      </c>
      <c r="C41" s="132"/>
      <c r="G41" s="15"/>
      <c r="H41" s="15"/>
    </row>
    <row r="42" spans="2:13" ht="12.75">
      <c r="B42" s="132" t="s">
        <v>22</v>
      </c>
      <c r="C42" s="132"/>
      <c r="D42" s="23">
        <f>SQRT((D40/(O19*145*D36)))</f>
        <v>19.682730723461432</v>
      </c>
      <c r="E42" s="98">
        <f>D42*25.4</f>
        <v>499.94136037592034</v>
      </c>
      <c r="F42" s="97" t="s">
        <v>54</v>
      </c>
      <c r="H42" s="43"/>
      <c r="M42" s="44"/>
    </row>
    <row r="43" spans="2:11" ht="15.75">
      <c r="B43" s="142"/>
      <c r="C43" s="142"/>
      <c r="J43" s="173">
        <f>I16</f>
        <v>13.13</v>
      </c>
      <c r="K43" s="173"/>
    </row>
    <row r="44" spans="2:4" ht="15.75">
      <c r="B44" s="152" t="s">
        <v>27</v>
      </c>
      <c r="C44" s="152"/>
      <c r="D44" s="152"/>
    </row>
    <row r="45" spans="2:12" ht="12.75">
      <c r="B45" s="132" t="s">
        <v>28</v>
      </c>
      <c r="C45" s="132"/>
      <c r="D45" s="5">
        <f>D34</f>
        <v>6.82</v>
      </c>
      <c r="E45" s="99">
        <f>D45*0.3048</f>
        <v>2.078736</v>
      </c>
      <c r="F45" s="97" t="s">
        <v>93</v>
      </c>
      <c r="H45" s="130" t="s">
        <v>69</v>
      </c>
      <c r="I45" s="130"/>
      <c r="J45" s="130"/>
      <c r="K45" s="130"/>
      <c r="L45" s="130"/>
    </row>
    <row r="46" spans="2:11" ht="12.75">
      <c r="B46" s="132" t="s">
        <v>29</v>
      </c>
      <c r="C46" s="132"/>
      <c r="D46" s="6">
        <f>E36/12</f>
        <v>3</v>
      </c>
      <c r="E46" s="99">
        <f>D46*0.3048</f>
        <v>0.9144000000000001</v>
      </c>
      <c r="F46" s="97" t="s">
        <v>93</v>
      </c>
      <c r="I46" s="5" t="s">
        <v>78</v>
      </c>
      <c r="J46" s="6">
        <f>D17*(D20-(D25/2/12))</f>
        <v>19971.17211337796</v>
      </c>
      <c r="K46" t="s">
        <v>73</v>
      </c>
    </row>
    <row r="47" spans="2:10" ht="12.75">
      <c r="B47" s="132" t="s">
        <v>36</v>
      </c>
      <c r="C47" s="132"/>
      <c r="D47" s="5">
        <f>E36-2</f>
        <v>34</v>
      </c>
      <c r="E47" s="97">
        <f>E37-40</f>
        <v>860</v>
      </c>
      <c r="F47" s="97" t="s">
        <v>54</v>
      </c>
      <c r="I47" s="5"/>
      <c r="J47" s="5"/>
    </row>
    <row r="48" spans="2:11" ht="12.75">
      <c r="B48" s="132" t="s">
        <v>30</v>
      </c>
      <c r="C48" s="132"/>
      <c r="D48" s="86">
        <f>D45/D46</f>
        <v>2.2733333333333334</v>
      </c>
      <c r="E48" s="87" t="s">
        <v>91</v>
      </c>
      <c r="I48" s="5"/>
      <c r="J48" s="7">
        <f>J46*0.004448</f>
        <v>88.83177356030517</v>
      </c>
      <c r="K48" t="s">
        <v>74</v>
      </c>
    </row>
    <row r="49" spans="2:10" ht="14.25">
      <c r="B49" s="15"/>
      <c r="C49" s="172" t="str">
        <f>IF(D48&lt;2.5,"It is necessary to design it as a Deep Beam","It is not necessary to go for Deep Beam")</f>
        <v>It is necessary to design it as a Deep Beam</v>
      </c>
      <c r="D49" s="172"/>
      <c r="E49" s="172"/>
      <c r="F49" s="36"/>
      <c r="G49" s="36"/>
      <c r="I49" s="5"/>
      <c r="J49" s="5"/>
    </row>
    <row r="50" spans="2:11" ht="14.25">
      <c r="B50" s="156" t="s">
        <v>35</v>
      </c>
      <c r="C50" s="156"/>
      <c r="D50" s="17"/>
      <c r="E50" s="17"/>
      <c r="F50" s="17"/>
      <c r="G50" s="17"/>
      <c r="I50" s="5" t="s">
        <v>40</v>
      </c>
      <c r="J50" s="6">
        <f>J48*1.5/(D25*25.4)</f>
        <v>0.2384532217975264</v>
      </c>
      <c r="K50" t="s">
        <v>76</v>
      </c>
    </row>
    <row r="51" spans="2:11" ht="14.25">
      <c r="B51" s="19" t="s">
        <v>28</v>
      </c>
      <c r="C51" s="19"/>
      <c r="D51" s="17">
        <f>D34</f>
        <v>6.82</v>
      </c>
      <c r="E51" s="99">
        <f>D51*0.3048</f>
        <v>2.078736</v>
      </c>
      <c r="F51" s="97" t="s">
        <v>93</v>
      </c>
      <c r="G51" s="17" t="s">
        <v>79</v>
      </c>
      <c r="I51" s="5" t="s">
        <v>75</v>
      </c>
      <c r="J51" s="80">
        <f>0.25*SQRT(I12)</f>
        <v>1.5811388300841898</v>
      </c>
      <c r="K51" t="s">
        <v>76</v>
      </c>
    </row>
    <row r="52" spans="2:7" ht="14.25">
      <c r="B52" s="19" t="s">
        <v>29</v>
      </c>
      <c r="C52" s="19"/>
      <c r="D52" s="57">
        <f>E36/12</f>
        <v>3</v>
      </c>
      <c r="E52" s="99">
        <f>D52*0.3048</f>
        <v>0.9144000000000001</v>
      </c>
      <c r="F52" s="97" t="s">
        <v>93</v>
      </c>
      <c r="G52" s="17"/>
    </row>
    <row r="53" spans="2:12" ht="12.75">
      <c r="B53" s="132" t="s">
        <v>31</v>
      </c>
      <c r="C53" s="132"/>
      <c r="D53" s="16">
        <f>0.2*(D51+1.5*D52)</f>
        <v>2.2640000000000002</v>
      </c>
      <c r="E53" s="100">
        <f>D53*304.8</f>
        <v>690.0672000000001</v>
      </c>
      <c r="F53" s="97" t="s">
        <v>54</v>
      </c>
      <c r="I53" s="79"/>
      <c r="J53" s="130" t="str">
        <f>IF(J51&gt;J50,"SHEAR CHECK O.K","PLEASE CHECK")</f>
        <v>SHEAR CHECK O.K</v>
      </c>
      <c r="K53" s="130"/>
      <c r="L53" s="130"/>
    </row>
    <row r="54" spans="2:10" ht="12.75">
      <c r="B54" s="132" t="s">
        <v>32</v>
      </c>
      <c r="C54" s="132"/>
      <c r="D54" s="6">
        <f>D40/(39885*D53*12)</f>
        <v>2.46347336611843</v>
      </c>
      <c r="E54" s="104">
        <f>D54*645</f>
        <v>1588.9403211463873</v>
      </c>
      <c r="F54" s="97" t="s">
        <v>33</v>
      </c>
      <c r="I54" s="5"/>
      <c r="J54" s="5"/>
    </row>
    <row r="55" spans="2:12" ht="12.75">
      <c r="B55" s="142"/>
      <c r="C55" s="142"/>
      <c r="D55" s="21"/>
      <c r="E55" s="5"/>
      <c r="J55" s="165"/>
      <c r="K55" s="165"/>
      <c r="L55" s="165"/>
    </row>
    <row r="56" spans="2:3" ht="12.75">
      <c r="B56" s="142"/>
      <c r="C56" s="142"/>
    </row>
    <row r="57" spans="2:4" ht="12.75">
      <c r="B57" s="157" t="s">
        <v>34</v>
      </c>
      <c r="C57" s="157"/>
      <c r="D57" s="60"/>
    </row>
    <row r="58" spans="2:6" ht="12.75">
      <c r="B58" s="159" t="s">
        <v>32</v>
      </c>
      <c r="C58" s="159"/>
      <c r="D58" s="61">
        <f>D40/(33000*0.86*D47)</f>
        <v>2.7664563873906536</v>
      </c>
      <c r="E58" s="99">
        <f>D58*645</f>
        <v>1784.3643698669716</v>
      </c>
      <c r="F58" s="97" t="s">
        <v>33</v>
      </c>
    </row>
    <row r="59" spans="2:5" ht="12.75">
      <c r="B59" s="160"/>
      <c r="C59" s="160"/>
      <c r="D59" s="62"/>
      <c r="E59" s="5"/>
    </row>
    <row r="60" spans="2:11" ht="15.75">
      <c r="B60" s="152" t="s">
        <v>37</v>
      </c>
      <c r="C60" s="152"/>
      <c r="D60" s="152"/>
      <c r="H60" s="32"/>
      <c r="I60" s="32"/>
      <c r="J60" s="32"/>
      <c r="K60" s="32"/>
    </row>
    <row r="61" spans="2:11" ht="15">
      <c r="B61" s="132" t="s">
        <v>67</v>
      </c>
      <c r="C61" s="132"/>
      <c r="D61" s="7">
        <f>E39*((E37/1000)-((E37-40)/2000))</f>
        <v>393.6575513661342</v>
      </c>
      <c r="E61" s="5" t="s">
        <v>39</v>
      </c>
      <c r="H61" s="51" t="s">
        <v>61</v>
      </c>
      <c r="I61" s="24"/>
      <c r="J61" s="52" t="s">
        <v>62</v>
      </c>
      <c r="K61" s="53" t="s">
        <v>63</v>
      </c>
    </row>
    <row r="62" spans="2:11" ht="15">
      <c r="B62" s="132" t="s">
        <v>124</v>
      </c>
      <c r="C62" s="132"/>
      <c r="D62" s="18"/>
      <c r="H62" s="27" t="s">
        <v>49</v>
      </c>
      <c r="I62" s="26" t="s">
        <v>48</v>
      </c>
      <c r="J62" s="25"/>
      <c r="K62" s="28"/>
    </row>
    <row r="63" spans="2:11" ht="14.25">
      <c r="B63" s="142"/>
      <c r="C63" s="142"/>
      <c r="H63" s="29">
        <v>20</v>
      </c>
      <c r="I63" s="30">
        <v>415</v>
      </c>
      <c r="J63" s="30">
        <v>0.91</v>
      </c>
      <c r="K63" s="31">
        <v>2.8</v>
      </c>
    </row>
    <row r="64" spans="2:11" ht="14.25">
      <c r="B64" s="132" t="s">
        <v>40</v>
      </c>
      <c r="C64" s="132"/>
      <c r="D64" s="7">
        <f>D61*10^3*1.5/(D37*(E37-40))</f>
        <v>0.7629022313297175</v>
      </c>
      <c r="H64" s="29">
        <v>25</v>
      </c>
      <c r="I64" s="30">
        <v>415</v>
      </c>
      <c r="J64" s="30">
        <v>1.1</v>
      </c>
      <c r="K64" s="31">
        <v>3.1</v>
      </c>
    </row>
    <row r="65" spans="2:11" ht="14.25">
      <c r="B65" s="132" t="s">
        <v>84</v>
      </c>
      <c r="C65" s="132"/>
      <c r="H65" s="29">
        <v>30</v>
      </c>
      <c r="I65" s="30">
        <v>415</v>
      </c>
      <c r="J65" s="30">
        <v>1.31</v>
      </c>
      <c r="K65" s="31">
        <v>3.5</v>
      </c>
    </row>
    <row r="66" spans="2:11" ht="14.25">
      <c r="B66" s="132" t="s">
        <v>43</v>
      </c>
      <c r="C66" s="132"/>
      <c r="D66" s="20"/>
      <c r="H66" s="54">
        <v>35</v>
      </c>
      <c r="I66" s="55">
        <v>415</v>
      </c>
      <c r="J66" s="55">
        <v>1.5</v>
      </c>
      <c r="K66" s="56">
        <v>3.7</v>
      </c>
    </row>
    <row r="67" spans="2:11" ht="14.25">
      <c r="B67" s="164" t="s">
        <v>44</v>
      </c>
      <c r="C67" s="164"/>
      <c r="D67" s="6">
        <f>D78*100/(D37*(E37-40))</f>
        <v>0.18202330982986178</v>
      </c>
      <c r="E67" s="5" t="s">
        <v>46</v>
      </c>
      <c r="H67" s="24"/>
      <c r="I67" s="24"/>
      <c r="J67" s="24"/>
      <c r="K67" s="24"/>
    </row>
    <row r="68" spans="2:5" ht="12.75">
      <c r="B68" s="161" t="s">
        <v>45</v>
      </c>
      <c r="C68" s="161"/>
      <c r="D68" s="61">
        <f>E58*100/(D37*(E37-40))</f>
        <v>0.23053803228255448</v>
      </c>
      <c r="E68" s="5" t="s">
        <v>46</v>
      </c>
    </row>
    <row r="69" spans="2:3" ht="12.75">
      <c r="B69" s="142"/>
      <c r="C69" s="142"/>
    </row>
    <row r="70" spans="2:4" ht="12.75">
      <c r="B70" s="132" t="s">
        <v>47</v>
      </c>
      <c r="C70" s="132"/>
      <c r="D70" s="1">
        <v>0.34</v>
      </c>
    </row>
    <row r="71" spans="2:5" ht="12.75">
      <c r="B71" s="132" t="s">
        <v>85</v>
      </c>
      <c r="C71" s="132"/>
      <c r="D71" s="18">
        <f>(D64-D70)*D37*(E37-40)</f>
        <v>327326.3270492013</v>
      </c>
      <c r="E71" t="s">
        <v>99</v>
      </c>
    </row>
    <row r="72" spans="2:7" ht="12.75">
      <c r="B72" s="132" t="s">
        <v>50</v>
      </c>
      <c r="C72" s="132"/>
      <c r="D72" s="22">
        <f>0.87*I66*F72*78.5*(E37-40)/(D71)</f>
        <v>297.8615954265873</v>
      </c>
      <c r="E72" t="s">
        <v>54</v>
      </c>
      <c r="F72" s="116">
        <v>4</v>
      </c>
      <c r="G72" s="117" t="s">
        <v>113</v>
      </c>
    </row>
    <row r="73" spans="2:5" ht="12.75">
      <c r="B73" s="132" t="s">
        <v>51</v>
      </c>
      <c r="C73" s="132"/>
      <c r="D73" s="22">
        <f>0.87*I66*F72*113*(E37-40)/(D71)</f>
        <v>428.76892080515114</v>
      </c>
      <c r="E73" t="s">
        <v>54</v>
      </c>
    </row>
    <row r="74" spans="3:5" ht="12.75">
      <c r="C74" s="162" t="s">
        <v>126</v>
      </c>
      <c r="D74" s="162"/>
      <c r="E74" s="162"/>
    </row>
    <row r="75" spans="2:3" ht="12.75">
      <c r="B75" s="142"/>
      <c r="C75" s="142"/>
    </row>
    <row r="76" spans="2:3" ht="15.75">
      <c r="B76" s="152" t="s">
        <v>52</v>
      </c>
      <c r="C76" s="152"/>
    </row>
    <row r="77" spans="2:5" ht="12.75">
      <c r="B77" s="132" t="s">
        <v>53</v>
      </c>
      <c r="C77" s="132"/>
      <c r="D77" s="5">
        <f>0.2*E37</f>
        <v>180</v>
      </c>
      <c r="E77" s="5" t="s">
        <v>54</v>
      </c>
    </row>
    <row r="78" spans="2:5" ht="12.75">
      <c r="B78" s="132" t="s">
        <v>55</v>
      </c>
      <c r="C78" s="132"/>
      <c r="D78" s="105">
        <f>E54*0.5*(D48-0.5)</f>
        <v>1408.86041808313</v>
      </c>
      <c r="E78" s="5" t="s">
        <v>33</v>
      </c>
    </row>
    <row r="79" spans="2:5" ht="12.75">
      <c r="B79" s="2"/>
      <c r="C79" s="162" t="s">
        <v>118</v>
      </c>
      <c r="D79" s="162"/>
      <c r="E79" s="162"/>
    </row>
    <row r="80" spans="2:5" ht="12.75">
      <c r="B80" s="159" t="s">
        <v>56</v>
      </c>
      <c r="C80" s="159"/>
      <c r="D80" s="63">
        <f>E58*0.5*(D48-0.5)</f>
        <v>1582.136407948715</v>
      </c>
      <c r="E80" s="60"/>
    </row>
    <row r="81" spans="2:5" ht="12.75">
      <c r="B81" s="60"/>
      <c r="C81" s="163"/>
      <c r="D81" s="163"/>
      <c r="E81" s="163"/>
    </row>
    <row r="82" spans="2:3" ht="12.75">
      <c r="B82" s="158"/>
      <c r="C82" s="158"/>
    </row>
    <row r="83" spans="2:4" ht="15.75">
      <c r="B83" s="152" t="s">
        <v>57</v>
      </c>
      <c r="C83" s="152"/>
      <c r="D83" s="20"/>
    </row>
    <row r="84" spans="2:6" ht="12.75">
      <c r="B84" s="132" t="s">
        <v>10</v>
      </c>
      <c r="C84" s="132"/>
      <c r="D84" s="85">
        <f>H39-(D9/2000)*3.2808</f>
        <v>2.8185275</v>
      </c>
      <c r="E84" s="101">
        <f>D84*0.3048</f>
        <v>0.8590871820000001</v>
      </c>
      <c r="F84" s="97" t="s">
        <v>93</v>
      </c>
    </row>
    <row r="85" spans="2:6" ht="12.75">
      <c r="B85" s="132" t="s">
        <v>58</v>
      </c>
      <c r="C85" s="132"/>
      <c r="D85" s="18">
        <f>D39</f>
        <v>57391.342896109185</v>
      </c>
      <c r="E85" s="98">
        <f>D85*0.014594</f>
        <v>837.5692582258174</v>
      </c>
      <c r="F85" s="97" t="s">
        <v>98</v>
      </c>
    </row>
    <row r="86" spans="2:6" ht="12.75">
      <c r="B86" s="132" t="s">
        <v>60</v>
      </c>
      <c r="C86" s="132"/>
      <c r="D86" s="6">
        <f>D85*D84*D84*6</f>
        <v>2735534.4619352324</v>
      </c>
      <c r="E86" s="99">
        <f>D86*0.000113</f>
        <v>309.11539419868126</v>
      </c>
      <c r="F86" s="97" t="s">
        <v>94</v>
      </c>
    </row>
    <row r="87" spans="2:6" ht="12.75">
      <c r="B87" s="132" t="s">
        <v>59</v>
      </c>
      <c r="C87" s="132"/>
      <c r="D87" s="5"/>
      <c r="E87" s="97"/>
      <c r="F87" s="97"/>
    </row>
    <row r="88" spans="2:6" ht="12.75">
      <c r="B88" s="132" t="s">
        <v>22</v>
      </c>
      <c r="C88" s="132"/>
      <c r="D88" s="6">
        <f>SQRT((D86/(O19*145*E36)))</f>
        <v>19.92502514155995</v>
      </c>
      <c r="E88" s="98">
        <f>D88*25.4</f>
        <v>506.0956385956227</v>
      </c>
      <c r="F88" s="97" t="s">
        <v>54</v>
      </c>
    </row>
    <row r="89" spans="2:6" ht="12.75">
      <c r="B89" s="132" t="s">
        <v>100</v>
      </c>
      <c r="C89" s="132"/>
      <c r="D89" s="22">
        <f>D86/(39885*0.91*(E36-2))</f>
        <v>2.2167273752497647</v>
      </c>
      <c r="E89" s="98">
        <f>D89*645</f>
        <v>1429.7891570360982</v>
      </c>
      <c r="F89" s="97" t="s">
        <v>33</v>
      </c>
    </row>
    <row r="90" spans="2:5" ht="12.75">
      <c r="B90" s="158"/>
      <c r="C90" s="158"/>
      <c r="D90" s="21"/>
      <c r="E90" s="5"/>
    </row>
  </sheetData>
  <sheetProtection/>
  <mergeCells count="105">
    <mergeCell ref="D4:J4"/>
    <mergeCell ref="D6:J6"/>
    <mergeCell ref="C49:E49"/>
    <mergeCell ref="J43:K43"/>
    <mergeCell ref="B35:C35"/>
    <mergeCell ref="B18:C18"/>
    <mergeCell ref="B36:C36"/>
    <mergeCell ref="B38:C38"/>
    <mergeCell ref="B39:C39"/>
    <mergeCell ref="B40:C40"/>
    <mergeCell ref="H45:L45"/>
    <mergeCell ref="B90:C90"/>
    <mergeCell ref="B56:C56"/>
    <mergeCell ref="B87:C87"/>
    <mergeCell ref="B77:C77"/>
    <mergeCell ref="B78:C78"/>
    <mergeCell ref="B72:C72"/>
    <mergeCell ref="B73:C73"/>
    <mergeCell ref="C74:E74"/>
    <mergeCell ref="B76:C76"/>
    <mergeCell ref="B75:C75"/>
    <mergeCell ref="B88:C88"/>
    <mergeCell ref="B67:C67"/>
    <mergeCell ref="J55:L55"/>
    <mergeCell ref="B89:C89"/>
    <mergeCell ref="B80:C80"/>
    <mergeCell ref="C79:E79"/>
    <mergeCell ref="B83:C83"/>
    <mergeCell ref="B84:C84"/>
    <mergeCell ref="B82:C82"/>
    <mergeCell ref="C81:E81"/>
    <mergeCell ref="B85:C85"/>
    <mergeCell ref="B86:C86"/>
    <mergeCell ref="B46:C46"/>
    <mergeCell ref="B65:C65"/>
    <mergeCell ref="B53:C53"/>
    <mergeCell ref="B68:C68"/>
    <mergeCell ref="B70:C70"/>
    <mergeCell ref="B71:C71"/>
    <mergeCell ref="B69:C69"/>
    <mergeCell ref="B42:C42"/>
    <mergeCell ref="B48:C48"/>
    <mergeCell ref="B47:C47"/>
    <mergeCell ref="B66:C66"/>
    <mergeCell ref="B43:C43"/>
    <mergeCell ref="B58:C58"/>
    <mergeCell ref="B59:C59"/>
    <mergeCell ref="B63:C63"/>
    <mergeCell ref="B44:D44"/>
    <mergeCell ref="B45:C45"/>
    <mergeCell ref="B64:C64"/>
    <mergeCell ref="B23:C23"/>
    <mergeCell ref="B31:E31"/>
    <mergeCell ref="B50:C50"/>
    <mergeCell ref="B61:C61"/>
    <mergeCell ref="B62:C62"/>
    <mergeCell ref="B57:C57"/>
    <mergeCell ref="B60:D60"/>
    <mergeCell ref="B37:C37"/>
    <mergeCell ref="B41:C41"/>
    <mergeCell ref="B27:C27"/>
    <mergeCell ref="B29:C29"/>
    <mergeCell ref="B28:C28"/>
    <mergeCell ref="B26:C26"/>
    <mergeCell ref="B32:D32"/>
    <mergeCell ref="L8:N8"/>
    <mergeCell ref="L11:M11"/>
    <mergeCell ref="B30:C30"/>
    <mergeCell ref="B33:D33"/>
    <mergeCell ref="B20:C20"/>
    <mergeCell ref="B21:C21"/>
    <mergeCell ref="B22:C22"/>
    <mergeCell ref="B55:C55"/>
    <mergeCell ref="B54:C54"/>
    <mergeCell ref="B34:C34"/>
    <mergeCell ref="B24:C24"/>
    <mergeCell ref="B25:C25"/>
    <mergeCell ref="M27:M34"/>
    <mergeCell ref="J39:K39"/>
    <mergeCell ref="B5:C5"/>
    <mergeCell ref="B2:N3"/>
    <mergeCell ref="B19:E19"/>
    <mergeCell ref="D5:AA5"/>
    <mergeCell ref="B11:C11"/>
    <mergeCell ref="B13:C13"/>
    <mergeCell ref="B6:C6"/>
    <mergeCell ref="B12:C12"/>
    <mergeCell ref="M18:N18"/>
    <mergeCell ref="M19:N19"/>
    <mergeCell ref="M16:N16"/>
    <mergeCell ref="J27:K34"/>
    <mergeCell ref="J53:L53"/>
    <mergeCell ref="H24:M26"/>
    <mergeCell ref="H35:M37"/>
    <mergeCell ref="I28:I33"/>
    <mergeCell ref="L28:L33"/>
    <mergeCell ref="H27:H34"/>
    <mergeCell ref="B9:C10"/>
    <mergeCell ref="M17:N17"/>
    <mergeCell ref="M15:N15"/>
    <mergeCell ref="E16:F16"/>
    <mergeCell ref="B16:C16"/>
    <mergeCell ref="B17:C17"/>
    <mergeCell ref="B14:C14"/>
    <mergeCell ref="B15:C15"/>
  </mergeCells>
  <dataValidations count="3">
    <dataValidation type="list" allowBlank="1" showInputMessage="1" showErrorMessage="1" sqref="I11">
      <formula1>"415,500"</formula1>
    </dataValidation>
    <dataValidation type="list" allowBlank="1" showInputMessage="1" showErrorMessage="1" sqref="I12">
      <formula1>"20,25,30,35,40"</formula1>
    </dataValidation>
    <dataValidation type="list" allowBlank="1" showInputMessage="1" showErrorMessage="1" sqref="F72">
      <formula1>"2,4,6"</formula1>
    </dataValidation>
  </dataValidations>
  <printOptions/>
  <pageMargins left="0.43" right="0.24" top="1" bottom="1" header="0.5" footer="0.5"/>
  <pageSetup horizontalDpi="600" verticalDpi="600" orientation="portrait" paperSize="8" scale="85" r:id="rId2"/>
  <colBreaks count="1" manualBreakCount="1">
    <brk id="16" min="1" max="8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B2:AA91"/>
  <sheetViews>
    <sheetView zoomScalePageLayoutView="0" workbookViewId="0" topLeftCell="B1">
      <selection activeCell="D5" sqref="D5:AA5"/>
    </sheetView>
  </sheetViews>
  <sheetFormatPr defaultColWidth="9.140625" defaultRowHeight="12.75"/>
  <cols>
    <col min="3" max="3" width="22.7109375" style="0" customWidth="1"/>
    <col min="4" max="4" width="12.00390625" style="0" customWidth="1"/>
    <col min="7" max="7" width="10.7109375" style="0" customWidth="1"/>
    <col min="10" max="10" width="8.7109375" style="0" customWidth="1"/>
    <col min="14" max="14" width="7.28125" style="0" customWidth="1"/>
  </cols>
  <sheetData>
    <row r="2" spans="2:14" ht="18" customHeight="1">
      <c r="B2" s="150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2:14" ht="12.75"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2:27" ht="15.75">
      <c r="B4" s="10" t="s">
        <v>1</v>
      </c>
      <c r="C4" s="11"/>
      <c r="D4" s="166"/>
      <c r="E4" s="167"/>
      <c r="F4" s="167"/>
      <c r="G4" s="167"/>
      <c r="H4" s="167"/>
      <c r="I4" s="167"/>
      <c r="J4" s="168"/>
      <c r="K4" s="13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2:27" ht="12.75">
      <c r="B5" s="148" t="s">
        <v>66</v>
      </c>
      <c r="C5" s="149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</row>
    <row r="6" spans="2:27" ht="12.75">
      <c r="B6" s="148" t="s">
        <v>26</v>
      </c>
      <c r="C6" s="149"/>
      <c r="D6" s="169"/>
      <c r="E6" s="170"/>
      <c r="F6" s="170"/>
      <c r="G6" s="170"/>
      <c r="H6" s="170"/>
      <c r="I6" s="170"/>
      <c r="J6" s="171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2:27" ht="12.75">
      <c r="B7" s="66" t="s">
        <v>71</v>
      </c>
      <c r="C7" s="66"/>
      <c r="D7" s="70" t="s">
        <v>72</v>
      </c>
      <c r="E7" s="67"/>
      <c r="F7" s="67"/>
      <c r="G7" s="67"/>
      <c r="H7" s="67"/>
      <c r="I7" s="67"/>
      <c r="J7" s="67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</row>
    <row r="8" spans="2:27" ht="12.75">
      <c r="B8" s="66"/>
      <c r="C8" s="66"/>
      <c r="D8" s="69" t="s">
        <v>64</v>
      </c>
      <c r="E8" s="69" t="s">
        <v>65</v>
      </c>
      <c r="F8" s="67"/>
      <c r="G8" s="67"/>
      <c r="H8" s="67"/>
      <c r="I8" s="67"/>
      <c r="J8" s="67"/>
      <c r="K8" s="68"/>
      <c r="L8" s="155" t="s">
        <v>92</v>
      </c>
      <c r="M8" s="155"/>
      <c r="N8" s="155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</row>
    <row r="9" spans="2:27" ht="12.75">
      <c r="B9" s="126" t="s">
        <v>70</v>
      </c>
      <c r="C9" s="126"/>
      <c r="D9" s="118">
        <v>400</v>
      </c>
      <c r="E9" s="118">
        <v>400</v>
      </c>
      <c r="F9" s="67"/>
      <c r="G9" s="67"/>
      <c r="H9" s="67"/>
      <c r="I9" s="67"/>
      <c r="J9" s="67"/>
      <c r="K9" s="68"/>
      <c r="L9" s="40"/>
      <c r="M9" s="40"/>
      <c r="N9" s="40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</row>
    <row r="10" spans="2:5" ht="12.75">
      <c r="B10" s="127"/>
      <c r="C10" s="127"/>
      <c r="D10" s="119">
        <v>750</v>
      </c>
      <c r="E10" s="119">
        <v>900</v>
      </c>
    </row>
    <row r="11" spans="2:15" ht="12.75">
      <c r="B11" s="132" t="s">
        <v>2</v>
      </c>
      <c r="C11" s="132"/>
      <c r="D11" s="9" t="s">
        <v>3</v>
      </c>
      <c r="E11" s="9" t="s">
        <v>4</v>
      </c>
      <c r="H11" s="47" t="s">
        <v>48</v>
      </c>
      <c r="I11" s="48">
        <v>500</v>
      </c>
      <c r="L11" s="155" t="s">
        <v>81</v>
      </c>
      <c r="M11" s="155"/>
      <c r="N11" s="82">
        <f>E12*D34/(D12+E12)</f>
        <v>3.3614123581336695</v>
      </c>
      <c r="O11" s="91" t="s">
        <v>82</v>
      </c>
    </row>
    <row r="12" spans="2:15" ht="15">
      <c r="B12" s="142"/>
      <c r="C12" s="142"/>
      <c r="D12" s="71">
        <v>401</v>
      </c>
      <c r="E12" s="71">
        <v>392</v>
      </c>
      <c r="H12" s="49" t="s">
        <v>49</v>
      </c>
      <c r="I12" s="50">
        <v>35</v>
      </c>
      <c r="N12" s="99">
        <f>N11*304.8</f>
        <v>1024.5584867591424</v>
      </c>
      <c r="O12" s="97" t="s">
        <v>54</v>
      </c>
    </row>
    <row r="13" spans="2:4" ht="12.75">
      <c r="B13" s="132" t="s">
        <v>8</v>
      </c>
      <c r="C13" s="132"/>
      <c r="D13" s="4">
        <f>D12+E12</f>
        <v>793</v>
      </c>
    </row>
    <row r="14" spans="2:4" ht="12.75">
      <c r="B14" s="132" t="s">
        <v>5</v>
      </c>
      <c r="C14" s="132"/>
      <c r="D14" s="4">
        <v>5</v>
      </c>
    </row>
    <row r="15" spans="2:16" ht="15">
      <c r="B15" s="154" t="s">
        <v>6</v>
      </c>
      <c r="C15" s="154"/>
      <c r="D15" s="64">
        <f>D13*1.1/(D14)</f>
        <v>174.46</v>
      </c>
      <c r="H15" s="47" t="s">
        <v>17</v>
      </c>
      <c r="I15" s="72">
        <v>11.48</v>
      </c>
      <c r="J15" s="99">
        <f>I15*0.3048</f>
        <v>3.4991040000000004</v>
      </c>
      <c r="K15" s="97" t="s">
        <v>93</v>
      </c>
      <c r="M15" s="129" t="s">
        <v>103</v>
      </c>
      <c r="N15" s="129"/>
      <c r="O15" s="107" t="s">
        <v>104</v>
      </c>
      <c r="P15" s="108"/>
    </row>
    <row r="16" spans="2:16" ht="15">
      <c r="B16" s="131" t="s">
        <v>7</v>
      </c>
      <c r="C16" s="131"/>
      <c r="D16" s="3">
        <f>I16*I15</f>
        <v>179.088</v>
      </c>
      <c r="E16" s="130" t="str">
        <f>IF(D16&gt;D15,"O.K","PLEASE CHECK")</f>
        <v>O.K</v>
      </c>
      <c r="F16" s="130"/>
      <c r="H16" s="49" t="s">
        <v>18</v>
      </c>
      <c r="I16" s="73">
        <v>15.6</v>
      </c>
      <c r="J16" s="99">
        <f>I16*0.3048</f>
        <v>4.75488</v>
      </c>
      <c r="K16" s="97" t="s">
        <v>93</v>
      </c>
      <c r="M16" s="128" t="s">
        <v>109</v>
      </c>
      <c r="N16" s="128"/>
      <c r="O16" s="114">
        <v>0.8</v>
      </c>
      <c r="P16" s="109" t="s">
        <v>108</v>
      </c>
    </row>
    <row r="17" spans="2:16" ht="12.75">
      <c r="B17" s="132" t="s">
        <v>86</v>
      </c>
      <c r="C17" s="132"/>
      <c r="D17" s="6">
        <f>D13*2204/D16</f>
        <v>9759.291521486644</v>
      </c>
      <c r="F17" s="82">
        <f>D13/D16</f>
        <v>4.4279907084785135</v>
      </c>
      <c r="G17" s="46" t="s">
        <v>87</v>
      </c>
      <c r="M17" s="128" t="s">
        <v>105</v>
      </c>
      <c r="N17" s="128"/>
      <c r="O17" s="114">
        <v>0.98</v>
      </c>
      <c r="P17" s="109" t="s">
        <v>108</v>
      </c>
    </row>
    <row r="18" spans="2:16" ht="12.75">
      <c r="B18" s="142"/>
      <c r="C18" s="142"/>
      <c r="F18" s="81" t="str">
        <f>IF(F17&lt;D14,"SAFE")</f>
        <v>SAFE</v>
      </c>
      <c r="G18" s="46" t="s">
        <v>88</v>
      </c>
      <c r="M18" s="128" t="s">
        <v>106</v>
      </c>
      <c r="N18" s="128"/>
      <c r="O18" s="114">
        <v>1.15</v>
      </c>
      <c r="P18" s="109" t="s">
        <v>108</v>
      </c>
    </row>
    <row r="19" spans="2:16" ht="15.75">
      <c r="B19" s="152" t="s">
        <v>9</v>
      </c>
      <c r="C19" s="152"/>
      <c r="D19" s="152"/>
      <c r="E19" s="152"/>
      <c r="M19" s="128" t="s">
        <v>107</v>
      </c>
      <c r="N19" s="128"/>
      <c r="O19" s="114">
        <v>1.32</v>
      </c>
      <c r="P19" s="109" t="s">
        <v>108</v>
      </c>
    </row>
    <row r="20" spans="2:12" ht="12.75">
      <c r="B20" s="132" t="s">
        <v>10</v>
      </c>
      <c r="C20" s="132"/>
      <c r="D20" s="88">
        <f>G25</f>
        <v>4.073333333333333</v>
      </c>
      <c r="E20" s="92">
        <f>D20*0.3048</f>
        <v>1.241552</v>
      </c>
      <c r="F20" s="93" t="s">
        <v>93</v>
      </c>
      <c r="I20" s="40">
        <f>D12</f>
        <v>401</v>
      </c>
      <c r="L20" s="40">
        <f>E12</f>
        <v>392</v>
      </c>
    </row>
    <row r="21" spans="2:6" ht="12.75">
      <c r="B21" s="132" t="s">
        <v>11</v>
      </c>
      <c r="C21" s="132"/>
      <c r="D21" s="6">
        <f>D17*D20*D20*6</f>
        <v>971559.5920247776</v>
      </c>
      <c r="E21" s="94">
        <f>D21*0.000113</f>
        <v>109.78623389879986</v>
      </c>
      <c r="F21" s="93" t="s">
        <v>94</v>
      </c>
    </row>
    <row r="22" spans="2:6" ht="12.75">
      <c r="B22" s="132" t="s">
        <v>12</v>
      </c>
      <c r="C22" s="132"/>
      <c r="D22" s="7">
        <f>SQRT((D21)/(O19*145*12))</f>
        <v>20.56710343373898</v>
      </c>
      <c r="E22" s="95">
        <f>D22*25.4</f>
        <v>522.40442721697</v>
      </c>
      <c r="F22" s="93" t="s">
        <v>54</v>
      </c>
    </row>
    <row r="23" spans="2:6" ht="13.5" thickBot="1">
      <c r="B23" s="142"/>
      <c r="C23" s="142"/>
      <c r="E23" s="93"/>
      <c r="F23" s="93"/>
    </row>
    <row r="24" spans="2:15" ht="12.75">
      <c r="B24" s="132" t="s">
        <v>13</v>
      </c>
      <c r="C24" s="132"/>
      <c r="D24" s="1">
        <v>30</v>
      </c>
      <c r="E24" s="93">
        <f>D24*25</f>
        <v>750</v>
      </c>
      <c r="F24" s="93" t="s">
        <v>54</v>
      </c>
      <c r="G24" s="38"/>
      <c r="H24" s="136"/>
      <c r="I24" s="133"/>
      <c r="J24" s="133"/>
      <c r="K24" s="133"/>
      <c r="L24" s="133"/>
      <c r="M24" s="137"/>
      <c r="N24" s="59"/>
      <c r="O24" s="42"/>
    </row>
    <row r="25" spans="2:13" ht="12.75">
      <c r="B25" s="132" t="s">
        <v>14</v>
      </c>
      <c r="C25" s="132"/>
      <c r="D25" s="5">
        <f>D24-2</f>
        <v>28</v>
      </c>
      <c r="E25" s="95">
        <f>E24-40</f>
        <v>710</v>
      </c>
      <c r="F25" s="93" t="s">
        <v>54</v>
      </c>
      <c r="G25" s="58">
        <f>(N30-G31)/2</f>
        <v>4.073333333333333</v>
      </c>
      <c r="H25" s="138"/>
      <c r="I25" s="134"/>
      <c r="J25" s="134"/>
      <c r="K25" s="134"/>
      <c r="L25" s="134"/>
      <c r="M25" s="139"/>
    </row>
    <row r="26" spans="2:13" ht="13.5" thickBot="1">
      <c r="B26" s="142"/>
      <c r="C26" s="142"/>
      <c r="E26" s="93"/>
      <c r="F26" s="93"/>
      <c r="G26" s="39"/>
      <c r="H26" s="140"/>
      <c r="I26" s="135"/>
      <c r="J26" s="135"/>
      <c r="K26" s="135"/>
      <c r="L26" s="135"/>
      <c r="M26" s="141"/>
    </row>
    <row r="27" spans="2:13" ht="13.5" thickBot="1">
      <c r="B27" s="132" t="s">
        <v>95</v>
      </c>
      <c r="C27" s="132"/>
      <c r="D27" s="22">
        <f>D21/(39885*0.91*D25)</f>
        <v>0.9560055725603355</v>
      </c>
      <c r="E27" s="94">
        <f>D27*645/0.3048</f>
        <v>2023.0432883904734</v>
      </c>
      <c r="F27" s="93" t="s">
        <v>33</v>
      </c>
      <c r="G27" s="33"/>
      <c r="H27" s="136"/>
      <c r="I27" s="90"/>
      <c r="J27" s="133"/>
      <c r="K27" s="133"/>
      <c r="L27" s="90"/>
      <c r="M27" s="137"/>
    </row>
    <row r="28" spans="2:13" ht="12.75">
      <c r="B28" s="142"/>
      <c r="C28" s="142"/>
      <c r="D28" s="18"/>
      <c r="E28" s="93"/>
      <c r="F28" s="93"/>
      <c r="G28" s="33"/>
      <c r="H28" s="138"/>
      <c r="I28" s="143"/>
      <c r="J28" s="134"/>
      <c r="K28" s="134"/>
      <c r="L28" s="143"/>
      <c r="M28" s="139"/>
    </row>
    <row r="29" spans="2:13" ht="12.75">
      <c r="B29" s="132" t="s">
        <v>97</v>
      </c>
      <c r="C29" s="132"/>
      <c r="D29" s="22">
        <f>12*0.31/(D27)</f>
        <v>3.8911907072228105</v>
      </c>
      <c r="E29" s="95">
        <f>D29*25.4</f>
        <v>98.83624396345938</v>
      </c>
      <c r="F29" s="93" t="s">
        <v>54</v>
      </c>
      <c r="G29" s="33"/>
      <c r="H29" s="138"/>
      <c r="I29" s="144"/>
      <c r="J29" s="134"/>
      <c r="K29" s="134"/>
      <c r="L29" s="144"/>
      <c r="M29" s="139"/>
    </row>
    <row r="30" spans="2:16" ht="15.75">
      <c r="B30" s="132" t="s">
        <v>115</v>
      </c>
      <c r="C30" s="132"/>
      <c r="D30" s="22">
        <f>12*0.48/(D27)</f>
        <v>6.025069482151449</v>
      </c>
      <c r="E30" s="95">
        <f>D30*25.4</f>
        <v>153.0367648466468</v>
      </c>
      <c r="F30" s="93" t="s">
        <v>54</v>
      </c>
      <c r="G30" s="33"/>
      <c r="H30" s="138"/>
      <c r="I30" s="144"/>
      <c r="J30" s="134"/>
      <c r="K30" s="134"/>
      <c r="L30" s="144"/>
      <c r="M30" s="139"/>
      <c r="N30" s="65">
        <f>I15</f>
        <v>11.48</v>
      </c>
      <c r="O30" s="46"/>
      <c r="P30" s="40"/>
    </row>
    <row r="31" spans="2:13" ht="12.75">
      <c r="B31" s="130" t="s">
        <v>122</v>
      </c>
      <c r="C31" s="130"/>
      <c r="D31" s="130"/>
      <c r="E31" s="130"/>
      <c r="G31" s="58">
        <f>D36/12</f>
        <v>3.3333333333333335</v>
      </c>
      <c r="H31" s="138"/>
      <c r="I31" s="144"/>
      <c r="J31" s="134"/>
      <c r="K31" s="134"/>
      <c r="L31" s="144"/>
      <c r="M31" s="139"/>
    </row>
    <row r="32" spans="2:13" ht="12.75">
      <c r="B32" s="142"/>
      <c r="C32" s="142"/>
      <c r="D32" s="142"/>
      <c r="G32" s="33"/>
      <c r="H32" s="138"/>
      <c r="I32" s="144"/>
      <c r="J32" s="134"/>
      <c r="K32" s="134"/>
      <c r="L32" s="144"/>
      <c r="M32" s="139"/>
    </row>
    <row r="33" spans="2:13" ht="16.5" thickBot="1">
      <c r="B33" s="152" t="s">
        <v>15</v>
      </c>
      <c r="C33" s="152"/>
      <c r="D33" s="152"/>
      <c r="G33" s="33"/>
      <c r="H33" s="138"/>
      <c r="I33" s="145"/>
      <c r="J33" s="134"/>
      <c r="K33" s="134"/>
      <c r="L33" s="145"/>
      <c r="M33" s="139"/>
    </row>
    <row r="34" spans="2:13" ht="13.5" thickBot="1">
      <c r="B34" s="132" t="s">
        <v>10</v>
      </c>
      <c r="C34" s="132"/>
      <c r="D34" s="4">
        <v>6.8</v>
      </c>
      <c r="E34" s="96">
        <f>D34*0.3048</f>
        <v>2.0726400000000003</v>
      </c>
      <c r="F34" s="97" t="s">
        <v>93</v>
      </c>
      <c r="G34" s="33"/>
      <c r="H34" s="140"/>
      <c r="I34" s="89"/>
      <c r="J34" s="135"/>
      <c r="K34" s="135"/>
      <c r="L34" s="89"/>
      <c r="M34" s="141"/>
    </row>
    <row r="35" spans="2:13" ht="12.75">
      <c r="B35" s="158"/>
      <c r="C35" s="158"/>
      <c r="D35" s="9" t="s">
        <v>24</v>
      </c>
      <c r="E35" s="9" t="s">
        <v>25</v>
      </c>
      <c r="G35" s="38"/>
      <c r="H35" s="133"/>
      <c r="I35" s="133"/>
      <c r="J35" s="133"/>
      <c r="K35" s="133"/>
      <c r="L35" s="133"/>
      <c r="M35" s="137"/>
    </row>
    <row r="36" spans="2:13" ht="12.75">
      <c r="B36" s="132" t="s">
        <v>23</v>
      </c>
      <c r="C36" s="132"/>
      <c r="D36" s="8">
        <v>40</v>
      </c>
      <c r="E36" s="1">
        <v>40</v>
      </c>
      <c r="F36" s="5" t="s">
        <v>42</v>
      </c>
      <c r="G36" s="58">
        <f>(N30-G31)/2</f>
        <v>4.073333333333333</v>
      </c>
      <c r="H36" s="142"/>
      <c r="I36" s="142"/>
      <c r="J36" s="142"/>
      <c r="K36" s="142"/>
      <c r="L36" s="142"/>
      <c r="M36" s="139"/>
    </row>
    <row r="37" spans="2:15" ht="13.5" thickBot="1">
      <c r="B37" s="158"/>
      <c r="C37" s="158"/>
      <c r="D37" s="103">
        <f>D36*25</f>
        <v>1000</v>
      </c>
      <c r="E37" s="97">
        <f>E36*25</f>
        <v>1000</v>
      </c>
      <c r="F37" s="97" t="s">
        <v>41</v>
      </c>
      <c r="G37" s="37"/>
      <c r="H37" s="135"/>
      <c r="I37" s="135"/>
      <c r="J37" s="135"/>
      <c r="K37" s="135"/>
      <c r="L37" s="135"/>
      <c r="M37" s="141"/>
      <c r="N37" s="78"/>
      <c r="O37" s="41"/>
    </row>
    <row r="38" spans="2:13" ht="12.75">
      <c r="B38" s="132" t="s">
        <v>16</v>
      </c>
      <c r="C38" s="132"/>
      <c r="H38" s="74"/>
      <c r="I38" s="34"/>
      <c r="L38" s="76"/>
      <c r="M38" s="77"/>
    </row>
    <row r="39" spans="2:13" ht="12.75">
      <c r="B39" s="132" t="s">
        <v>19</v>
      </c>
      <c r="C39" s="132"/>
      <c r="D39" s="45">
        <f>D17*(G25+G36)</f>
        <v>79505.69492837787</v>
      </c>
      <c r="E39" s="98">
        <f>D39*0.014594</f>
        <v>1160.3061117847465</v>
      </c>
      <c r="F39" s="97" t="s">
        <v>98</v>
      </c>
      <c r="H39" s="120">
        <f>(J43/2)-N11</f>
        <v>4.438587641866331</v>
      </c>
      <c r="I39" s="35"/>
      <c r="J39" s="155">
        <f>D34</f>
        <v>6.8</v>
      </c>
      <c r="K39" s="174"/>
      <c r="L39" s="75"/>
      <c r="M39" s="121">
        <f>(J43-H39-J39)</f>
        <v>4.361412358133669</v>
      </c>
    </row>
    <row r="40" spans="2:6" ht="12.75">
      <c r="B40" s="132" t="s">
        <v>21</v>
      </c>
      <c r="C40" s="132"/>
      <c r="D40" s="6">
        <f>D39*D34*D34</f>
        <v>3676343.333488192</v>
      </c>
      <c r="E40" s="99">
        <f>D40*0.000113</f>
        <v>415.42679668416565</v>
      </c>
      <c r="F40" s="97" t="s">
        <v>94</v>
      </c>
    </row>
    <row r="41" spans="2:8" ht="12.75">
      <c r="B41" s="132" t="s">
        <v>20</v>
      </c>
      <c r="C41" s="132"/>
      <c r="G41" s="15"/>
      <c r="H41" s="15"/>
    </row>
    <row r="42" spans="2:13" ht="12.75">
      <c r="B42" s="132" t="s">
        <v>22</v>
      </c>
      <c r="C42" s="132"/>
      <c r="D42" s="23">
        <f>SQRT((D40/(O19*145*D36)))</f>
        <v>21.913263917387724</v>
      </c>
      <c r="E42" s="98">
        <f>D42*25.4</f>
        <v>556.5969035016482</v>
      </c>
      <c r="F42" s="97" t="s">
        <v>54</v>
      </c>
      <c r="H42" s="43"/>
      <c r="M42" s="44"/>
    </row>
    <row r="43" spans="2:11" ht="15.75">
      <c r="B43" s="142"/>
      <c r="C43" s="142"/>
      <c r="J43" s="173">
        <f>I16</f>
        <v>15.6</v>
      </c>
      <c r="K43" s="173"/>
    </row>
    <row r="44" spans="2:4" ht="15.75">
      <c r="B44" s="152" t="s">
        <v>27</v>
      </c>
      <c r="C44" s="152"/>
      <c r="D44" s="152"/>
    </row>
    <row r="45" spans="2:12" ht="12.75">
      <c r="B45" s="132" t="s">
        <v>28</v>
      </c>
      <c r="C45" s="132"/>
      <c r="D45" s="5">
        <f>D34</f>
        <v>6.8</v>
      </c>
      <c r="E45" s="99">
        <f>D45*0.3048</f>
        <v>2.0726400000000003</v>
      </c>
      <c r="F45" s="97" t="s">
        <v>93</v>
      </c>
      <c r="H45" s="130" t="s">
        <v>69</v>
      </c>
      <c r="I45" s="130"/>
      <c r="J45" s="130"/>
      <c r="K45" s="130"/>
      <c r="L45" s="130"/>
    </row>
    <row r="46" spans="2:11" ht="12.75">
      <c r="B46" s="132" t="s">
        <v>29</v>
      </c>
      <c r="C46" s="132"/>
      <c r="D46" s="6">
        <f>E36/12</f>
        <v>3.3333333333333335</v>
      </c>
      <c r="E46" s="99">
        <f>D46*0.3048</f>
        <v>1.016</v>
      </c>
      <c r="F46" s="97" t="s">
        <v>93</v>
      </c>
      <c r="I46" s="5" t="s">
        <v>78</v>
      </c>
      <c r="J46" s="6">
        <f>D17*(D20-(D25/2/12))</f>
        <v>28367.007355787842</v>
      </c>
      <c r="K46" t="s">
        <v>73</v>
      </c>
    </row>
    <row r="47" spans="2:10" ht="12.75">
      <c r="B47" s="132" t="s">
        <v>36</v>
      </c>
      <c r="C47" s="132"/>
      <c r="D47" s="5">
        <f>E36-2</f>
        <v>38</v>
      </c>
      <c r="E47" s="97">
        <f>E37-40</f>
        <v>960</v>
      </c>
      <c r="F47" s="97" t="s">
        <v>54</v>
      </c>
      <c r="I47" s="5"/>
      <c r="J47" s="5"/>
    </row>
    <row r="48" spans="2:11" ht="12.75">
      <c r="B48" s="132" t="s">
        <v>30</v>
      </c>
      <c r="C48" s="132"/>
      <c r="D48" s="86">
        <f>D45/D46</f>
        <v>2.04</v>
      </c>
      <c r="E48" s="87" t="s">
        <v>91</v>
      </c>
      <c r="I48" s="5"/>
      <c r="J48" s="7">
        <f>J46*0.004448</f>
        <v>126.17644871854431</v>
      </c>
      <c r="K48" t="s">
        <v>74</v>
      </c>
    </row>
    <row r="49" spans="2:10" ht="14.25">
      <c r="B49" s="15"/>
      <c r="C49" s="172" t="str">
        <f>IF(D48&lt;2.5,"It is necessary to design it as a Deep Beam","It is not necessary to go for Deep Beam")</f>
        <v>It is necessary to design it as a Deep Beam</v>
      </c>
      <c r="D49" s="172"/>
      <c r="E49" s="172"/>
      <c r="F49" s="36"/>
      <c r="G49" s="36"/>
      <c r="I49" s="5"/>
      <c r="J49" s="5"/>
    </row>
    <row r="50" spans="2:11" ht="14.25">
      <c r="B50" s="156" t="s">
        <v>35</v>
      </c>
      <c r="C50" s="156"/>
      <c r="D50" s="17"/>
      <c r="E50" s="17"/>
      <c r="F50" s="17"/>
      <c r="G50" s="17"/>
      <c r="I50" s="5" t="s">
        <v>40</v>
      </c>
      <c r="J50" s="6">
        <f>J48*1.5/(D25*25.4)</f>
        <v>0.2661201814929928</v>
      </c>
      <c r="K50" t="s">
        <v>76</v>
      </c>
    </row>
    <row r="51" spans="2:11" ht="14.25">
      <c r="B51" s="19" t="s">
        <v>28</v>
      </c>
      <c r="C51" s="19"/>
      <c r="D51" s="17">
        <f>D34</f>
        <v>6.8</v>
      </c>
      <c r="E51" s="99">
        <f>D51*0.3048</f>
        <v>2.0726400000000003</v>
      </c>
      <c r="F51" s="97" t="s">
        <v>93</v>
      </c>
      <c r="G51" s="17" t="s">
        <v>79</v>
      </c>
      <c r="I51" s="5" t="s">
        <v>75</v>
      </c>
      <c r="J51" s="80">
        <f>0.25*SQRT(I12)</f>
        <v>1.479019945774904</v>
      </c>
      <c r="K51" t="s">
        <v>76</v>
      </c>
    </row>
    <row r="52" spans="2:7" ht="14.25">
      <c r="B52" s="19" t="s">
        <v>29</v>
      </c>
      <c r="C52" s="19"/>
      <c r="D52" s="57">
        <f>E36/12</f>
        <v>3.3333333333333335</v>
      </c>
      <c r="E52" s="99">
        <f>D52*0.3048</f>
        <v>1.016</v>
      </c>
      <c r="F52" s="97" t="s">
        <v>93</v>
      </c>
      <c r="G52" s="17"/>
    </row>
    <row r="53" spans="2:12" ht="12.75">
      <c r="B53" s="132" t="s">
        <v>31</v>
      </c>
      <c r="C53" s="132"/>
      <c r="D53" s="16">
        <f>0.2*(D51+1.5*D52)</f>
        <v>2.3600000000000003</v>
      </c>
      <c r="E53" s="100">
        <f>D53*304.8</f>
        <v>719.3280000000001</v>
      </c>
      <c r="F53" s="97" t="s">
        <v>54</v>
      </c>
      <c r="I53" s="79"/>
      <c r="J53" s="130" t="str">
        <f>IF(J51&gt;J50,"SHEAR CHECK O.K","PLEASE CHECK")</f>
        <v>SHEAR CHECK O.K</v>
      </c>
      <c r="K53" s="130"/>
      <c r="L53" s="130"/>
    </row>
    <row r="54" spans="2:10" ht="12.75">
      <c r="B54" s="132" t="s">
        <v>32</v>
      </c>
      <c r="C54" s="132"/>
      <c r="D54" s="6">
        <f>D40/(39885*D53*12)</f>
        <v>3.2547168921810083</v>
      </c>
      <c r="E54" s="104">
        <f>D54*645</f>
        <v>2099.2923954567505</v>
      </c>
      <c r="F54" s="97" t="s">
        <v>33</v>
      </c>
      <c r="I54" s="5"/>
      <c r="J54" s="5"/>
    </row>
    <row r="55" spans="2:12" ht="12.75">
      <c r="B55" s="142"/>
      <c r="C55" s="142"/>
      <c r="D55" s="21"/>
      <c r="E55" s="5"/>
      <c r="J55" s="165"/>
      <c r="K55" s="165"/>
      <c r="L55" s="165"/>
    </row>
    <row r="56" spans="2:3" ht="12.75">
      <c r="B56" s="142"/>
      <c r="C56" s="142"/>
    </row>
    <row r="57" spans="2:4" ht="12.75">
      <c r="B57" s="157" t="s">
        <v>34</v>
      </c>
      <c r="C57" s="157"/>
      <c r="D57" s="60"/>
    </row>
    <row r="58" spans="2:6" ht="12.75">
      <c r="B58" s="159" t="s">
        <v>32</v>
      </c>
      <c r="C58" s="159"/>
      <c r="D58" s="61">
        <f>D40/(33000*0.86*D47)</f>
        <v>3.408945637669404</v>
      </c>
      <c r="E58" s="99">
        <f>D58*645</f>
        <v>2198.7699362967655</v>
      </c>
      <c r="F58" s="97" t="s">
        <v>33</v>
      </c>
    </row>
    <row r="59" spans="2:5" ht="12.75">
      <c r="B59" s="160"/>
      <c r="C59" s="160"/>
      <c r="D59" s="62"/>
      <c r="E59" s="5"/>
    </row>
    <row r="60" spans="2:11" ht="15.75">
      <c r="B60" s="152" t="s">
        <v>37</v>
      </c>
      <c r="C60" s="152"/>
      <c r="D60" s="152"/>
      <c r="H60" s="32"/>
      <c r="I60" s="32"/>
      <c r="J60" s="32"/>
      <c r="K60" s="32"/>
    </row>
    <row r="61" spans="2:11" ht="15">
      <c r="B61" s="132" t="s">
        <v>67</v>
      </c>
      <c r="C61" s="132"/>
      <c r="D61" s="7">
        <f>E39*((E37/1000)-((E37-40)/2000))</f>
        <v>603.3591781280682</v>
      </c>
      <c r="E61" s="5" t="s">
        <v>39</v>
      </c>
      <c r="H61" s="51" t="s">
        <v>61</v>
      </c>
      <c r="I61" s="24"/>
      <c r="J61" s="52" t="s">
        <v>62</v>
      </c>
      <c r="K61" s="53" t="s">
        <v>63</v>
      </c>
    </row>
    <row r="62" spans="2:11" ht="15">
      <c r="B62" s="132" t="s">
        <v>124</v>
      </c>
      <c r="C62" s="132"/>
      <c r="D62" s="18"/>
      <c r="H62" s="27" t="s">
        <v>49</v>
      </c>
      <c r="I62" s="26" t="s">
        <v>48</v>
      </c>
      <c r="J62" s="25"/>
      <c r="K62" s="28"/>
    </row>
    <row r="63" spans="2:11" ht="14.25">
      <c r="B63" s="142"/>
      <c r="C63" s="142"/>
      <c r="H63" s="29">
        <v>20</v>
      </c>
      <c r="I63" s="30">
        <v>415</v>
      </c>
      <c r="J63" s="30">
        <v>0.91</v>
      </c>
      <c r="K63" s="31">
        <v>2.8</v>
      </c>
    </row>
    <row r="64" spans="2:11" ht="14.25">
      <c r="B64" s="132" t="s">
        <v>40</v>
      </c>
      <c r="C64" s="132"/>
      <c r="D64" s="7">
        <f>D61*10^3*1.5/(D37*(E37-40))</f>
        <v>0.9427487158251064</v>
      </c>
      <c r="H64" s="29">
        <v>25</v>
      </c>
      <c r="I64" s="30">
        <v>415</v>
      </c>
      <c r="J64" s="30">
        <v>1.1</v>
      </c>
      <c r="K64" s="31">
        <v>3.1</v>
      </c>
    </row>
    <row r="65" spans="2:11" ht="14.25">
      <c r="B65" s="132" t="s">
        <v>84</v>
      </c>
      <c r="C65" s="132"/>
      <c r="H65" s="29">
        <v>30</v>
      </c>
      <c r="I65" s="30">
        <v>415</v>
      </c>
      <c r="J65" s="30">
        <v>1.31</v>
      </c>
      <c r="K65" s="31">
        <v>3.5</v>
      </c>
    </row>
    <row r="66" spans="2:11" ht="14.25">
      <c r="B66" s="132" t="s">
        <v>43</v>
      </c>
      <c r="C66" s="132"/>
      <c r="D66" s="20"/>
      <c r="H66" s="54">
        <v>35</v>
      </c>
      <c r="I66" s="55">
        <v>415</v>
      </c>
      <c r="J66" s="55">
        <v>1.5</v>
      </c>
      <c r="K66" s="56">
        <v>3.7</v>
      </c>
    </row>
    <row r="67" spans="2:11" ht="14.25">
      <c r="B67" s="164" t="s">
        <v>44</v>
      </c>
      <c r="C67" s="164"/>
      <c r="D67" s="6">
        <f>D79*100/(D37*(E37-40))</f>
        <v>0.16838074421892688</v>
      </c>
      <c r="E67" s="5" t="s">
        <v>46</v>
      </c>
      <c r="H67" s="24"/>
      <c r="I67" s="24"/>
      <c r="J67" s="24"/>
      <c r="K67" s="24"/>
    </row>
    <row r="68" spans="2:5" ht="12.75">
      <c r="B68" s="161" t="s">
        <v>45</v>
      </c>
      <c r="C68" s="161"/>
      <c r="D68" s="61">
        <f>E58*100/(D37*(E37-40))</f>
        <v>0.22903853503091307</v>
      </c>
      <c r="E68" s="5" t="s">
        <v>46</v>
      </c>
    </row>
    <row r="69" spans="2:3" ht="12.75">
      <c r="B69" s="142"/>
      <c r="C69" s="142"/>
    </row>
    <row r="70" spans="2:4" ht="12.75">
      <c r="B70" s="132" t="s">
        <v>47</v>
      </c>
      <c r="C70" s="132"/>
      <c r="D70" s="1">
        <v>0.42</v>
      </c>
    </row>
    <row r="71" spans="2:5" ht="12.75">
      <c r="B71" s="132" t="s">
        <v>85</v>
      </c>
      <c r="C71" s="132"/>
      <c r="D71" s="18">
        <f>(D64-D70)*D37*(E37-40)</f>
        <v>501838.76719210227</v>
      </c>
      <c r="E71" t="s">
        <v>99</v>
      </c>
    </row>
    <row r="72" spans="2:4" ht="12.75">
      <c r="B72" s="132" t="s">
        <v>128</v>
      </c>
      <c r="C72" s="132"/>
      <c r="D72" s="22">
        <f>0.87*I66*F73*50.3*(E37-40)/(D71)</f>
        <v>138.96401425939396</v>
      </c>
    </row>
    <row r="73" spans="2:7" ht="12.75">
      <c r="B73" s="132" t="s">
        <v>50</v>
      </c>
      <c r="C73" s="132"/>
      <c r="D73" s="22">
        <f>0.87*I66*F73*78.5*(E37-40)/(D71)</f>
        <v>216.87226877460097</v>
      </c>
      <c r="E73" t="s">
        <v>54</v>
      </c>
      <c r="F73" s="116">
        <v>4</v>
      </c>
      <c r="G73" s="117" t="s">
        <v>113</v>
      </c>
    </row>
    <row r="74" spans="2:5" ht="12.75">
      <c r="B74" s="132" t="s">
        <v>51</v>
      </c>
      <c r="C74" s="132"/>
      <c r="D74" s="22">
        <f>0.87*I66*F73*113*(E37-40)/(D71)</f>
        <v>312.1855588729925</v>
      </c>
      <c r="E74" t="s">
        <v>54</v>
      </c>
    </row>
    <row r="75" spans="3:5" ht="12.75">
      <c r="C75" s="162" t="s">
        <v>125</v>
      </c>
      <c r="D75" s="162"/>
      <c r="E75" s="162"/>
    </row>
    <row r="76" spans="2:3" ht="12.75">
      <c r="B76" s="142"/>
      <c r="C76" s="142"/>
    </row>
    <row r="77" spans="2:3" ht="15.75">
      <c r="B77" s="152" t="s">
        <v>52</v>
      </c>
      <c r="C77" s="152"/>
    </row>
    <row r="78" spans="2:5" ht="12.75">
      <c r="B78" s="132" t="s">
        <v>53</v>
      </c>
      <c r="C78" s="132"/>
      <c r="D78" s="5">
        <f>0.2*E37</f>
        <v>200</v>
      </c>
      <c r="E78" s="5" t="s">
        <v>54</v>
      </c>
    </row>
    <row r="79" spans="2:5" ht="12.75">
      <c r="B79" s="132" t="s">
        <v>55</v>
      </c>
      <c r="C79" s="132"/>
      <c r="D79" s="105">
        <f>E54*0.5*(D48-0.5)</f>
        <v>1616.455144501698</v>
      </c>
      <c r="E79" s="5" t="s">
        <v>33</v>
      </c>
    </row>
    <row r="80" spans="2:5" ht="12.75">
      <c r="B80" s="2"/>
      <c r="C80" s="162" t="s">
        <v>114</v>
      </c>
      <c r="D80" s="162"/>
      <c r="E80" s="162"/>
    </row>
    <row r="81" spans="2:5" ht="12.75">
      <c r="B81" s="159" t="s">
        <v>56</v>
      </c>
      <c r="C81" s="159"/>
      <c r="D81" s="63">
        <f>E58*0.5*(D48-0.5)</f>
        <v>1693.0528509485096</v>
      </c>
      <c r="E81" s="60"/>
    </row>
    <row r="82" spans="2:5" ht="12.75">
      <c r="B82" s="60"/>
      <c r="C82" s="163"/>
      <c r="D82" s="163"/>
      <c r="E82" s="163"/>
    </row>
    <row r="83" spans="2:3" ht="12.75">
      <c r="B83" s="158"/>
      <c r="C83" s="158"/>
    </row>
    <row r="84" spans="2:4" ht="15.75">
      <c r="B84" s="152" t="s">
        <v>57</v>
      </c>
      <c r="C84" s="152"/>
      <c r="D84" s="20"/>
    </row>
    <row r="85" spans="2:6" ht="12.75">
      <c r="B85" s="132" t="s">
        <v>10</v>
      </c>
      <c r="C85" s="132"/>
      <c r="D85" s="85">
        <f>H39-(D9/2000)*3.2808</f>
        <v>3.782427641866331</v>
      </c>
      <c r="E85" s="101">
        <f>D85*0.3048</f>
        <v>1.1528839452408577</v>
      </c>
      <c r="F85" s="97" t="s">
        <v>93</v>
      </c>
    </row>
    <row r="86" spans="2:6" ht="12.75">
      <c r="B86" s="132" t="s">
        <v>58</v>
      </c>
      <c r="C86" s="132"/>
      <c r="D86" s="18">
        <f>D39</f>
        <v>79505.69492837787</v>
      </c>
      <c r="E86" s="98">
        <f>D86*0.014594</f>
        <v>1160.3061117847465</v>
      </c>
      <c r="F86" s="97" t="s">
        <v>98</v>
      </c>
    </row>
    <row r="87" spans="2:6" ht="12.75">
      <c r="B87" s="132" t="s">
        <v>60</v>
      </c>
      <c r="C87" s="132"/>
      <c r="D87" s="6">
        <f>D86*D85*D85*6</f>
        <v>6824812.834862659</v>
      </c>
      <c r="E87" s="99">
        <f>D87*0.000113</f>
        <v>771.2038503394804</v>
      </c>
      <c r="F87" s="97" t="s">
        <v>94</v>
      </c>
    </row>
    <row r="88" spans="2:6" ht="12.75">
      <c r="B88" s="132" t="s">
        <v>59</v>
      </c>
      <c r="C88" s="132"/>
      <c r="D88" s="5"/>
      <c r="E88" s="97"/>
      <c r="F88" s="97"/>
    </row>
    <row r="89" spans="2:6" ht="12.75">
      <c r="B89" s="132" t="s">
        <v>22</v>
      </c>
      <c r="C89" s="132"/>
      <c r="D89" s="6">
        <f>SQRT((D87/(O19*145*E36)))</f>
        <v>29.85687916366619</v>
      </c>
      <c r="E89" s="98">
        <f>D89*25.4</f>
        <v>758.3647307571212</v>
      </c>
      <c r="F89" s="97" t="s">
        <v>54</v>
      </c>
    </row>
    <row r="90" spans="2:6" ht="12.75">
      <c r="B90" s="132" t="s">
        <v>100</v>
      </c>
      <c r="C90" s="132"/>
      <c r="D90" s="22">
        <f>D87/(39885*0.91*(E36-2))</f>
        <v>4.948301580217401</v>
      </c>
      <c r="E90" s="98">
        <f>D90*645</f>
        <v>3191.6545192402236</v>
      </c>
      <c r="F90" s="97" t="s">
        <v>33</v>
      </c>
    </row>
    <row r="91" spans="2:5" ht="12.75">
      <c r="B91" s="158"/>
      <c r="C91" s="158"/>
      <c r="D91" s="21"/>
      <c r="E91" s="5"/>
    </row>
  </sheetData>
  <sheetProtection/>
  <mergeCells count="106">
    <mergeCell ref="M15:N15"/>
    <mergeCell ref="M18:N18"/>
    <mergeCell ref="M19:N19"/>
    <mergeCell ref="M16:N16"/>
    <mergeCell ref="J27:K34"/>
    <mergeCell ref="J53:L53"/>
    <mergeCell ref="H24:M26"/>
    <mergeCell ref="H35:M37"/>
    <mergeCell ref="I28:I33"/>
    <mergeCell ref="L28:L33"/>
    <mergeCell ref="H27:H34"/>
    <mergeCell ref="M27:M34"/>
    <mergeCell ref="J39:K39"/>
    <mergeCell ref="E16:F16"/>
    <mergeCell ref="B5:C5"/>
    <mergeCell ref="B2:N3"/>
    <mergeCell ref="B19:E19"/>
    <mergeCell ref="D5:AA5"/>
    <mergeCell ref="B11:C11"/>
    <mergeCell ref="B13:C13"/>
    <mergeCell ref="B6:C6"/>
    <mergeCell ref="B12:C12"/>
    <mergeCell ref="M17:N17"/>
    <mergeCell ref="B30:C30"/>
    <mergeCell ref="B14:C14"/>
    <mergeCell ref="B15:C15"/>
    <mergeCell ref="B16:C16"/>
    <mergeCell ref="B17:C17"/>
    <mergeCell ref="B20:C20"/>
    <mergeCell ref="B21:C21"/>
    <mergeCell ref="B22:C22"/>
    <mergeCell ref="B28:C28"/>
    <mergeCell ref="B26:C26"/>
    <mergeCell ref="B23:C23"/>
    <mergeCell ref="B31:E31"/>
    <mergeCell ref="B50:C50"/>
    <mergeCell ref="B61:C61"/>
    <mergeCell ref="B57:C57"/>
    <mergeCell ref="B60:D60"/>
    <mergeCell ref="B55:C55"/>
    <mergeCell ref="B54:C54"/>
    <mergeCell ref="B33:D33"/>
    <mergeCell ref="B32:D32"/>
    <mergeCell ref="B42:C42"/>
    <mergeCell ref="B48:C48"/>
    <mergeCell ref="B47:C47"/>
    <mergeCell ref="L8:N8"/>
    <mergeCell ref="L11:M11"/>
    <mergeCell ref="B34:C34"/>
    <mergeCell ref="B24:C24"/>
    <mergeCell ref="B25:C25"/>
    <mergeCell ref="B27:C27"/>
    <mergeCell ref="B29:C29"/>
    <mergeCell ref="B45:C45"/>
    <mergeCell ref="B46:C46"/>
    <mergeCell ref="B65:C65"/>
    <mergeCell ref="B53:C53"/>
    <mergeCell ref="B64:C64"/>
    <mergeCell ref="B62:C62"/>
    <mergeCell ref="B68:C68"/>
    <mergeCell ref="B70:C70"/>
    <mergeCell ref="B71:C71"/>
    <mergeCell ref="B69:C69"/>
    <mergeCell ref="B72:C72"/>
    <mergeCell ref="B77:C77"/>
    <mergeCell ref="B76:C76"/>
    <mergeCell ref="B89:C89"/>
    <mergeCell ref="B90:C90"/>
    <mergeCell ref="B81:C81"/>
    <mergeCell ref="C80:E80"/>
    <mergeCell ref="B84:C84"/>
    <mergeCell ref="B85:C85"/>
    <mergeCell ref="B83:C83"/>
    <mergeCell ref="C82:E82"/>
    <mergeCell ref="B86:C86"/>
    <mergeCell ref="B87:C87"/>
    <mergeCell ref="J55:L55"/>
    <mergeCell ref="H45:L45"/>
    <mergeCell ref="B91:C91"/>
    <mergeCell ref="B56:C56"/>
    <mergeCell ref="B88:C88"/>
    <mergeCell ref="B78:C78"/>
    <mergeCell ref="B79:C79"/>
    <mergeCell ref="B73:C73"/>
    <mergeCell ref="B74:C74"/>
    <mergeCell ref="C75:E75"/>
    <mergeCell ref="B40:C40"/>
    <mergeCell ref="B37:C37"/>
    <mergeCell ref="B41:C41"/>
    <mergeCell ref="B67:C67"/>
    <mergeCell ref="B66:C66"/>
    <mergeCell ref="B43:C43"/>
    <mergeCell ref="B58:C58"/>
    <mergeCell ref="B59:C59"/>
    <mergeCell ref="B63:C63"/>
    <mergeCell ref="B44:D44"/>
    <mergeCell ref="B9:C10"/>
    <mergeCell ref="D4:J4"/>
    <mergeCell ref="D6:J6"/>
    <mergeCell ref="C49:E49"/>
    <mergeCell ref="J43:K43"/>
    <mergeCell ref="B35:C35"/>
    <mergeCell ref="B18:C18"/>
    <mergeCell ref="B36:C36"/>
    <mergeCell ref="B38:C38"/>
    <mergeCell ref="B39:C39"/>
  </mergeCells>
  <dataValidations count="3">
    <dataValidation type="list" allowBlank="1" showInputMessage="1" showErrorMessage="1" sqref="I11">
      <formula1>"415,500"</formula1>
    </dataValidation>
    <dataValidation type="list" allowBlank="1" showInputMessage="1" showErrorMessage="1" sqref="I12">
      <formula1>"20,25,30,35,40"</formula1>
    </dataValidation>
    <dataValidation type="list" allowBlank="1" showInputMessage="1" showErrorMessage="1" sqref="F73">
      <formula1>"2,4,6"</formula1>
    </dataValidation>
  </dataValidations>
  <printOptions/>
  <pageMargins left="0.75" right="0.75" top="1" bottom="1" header="0.5" footer="0.5"/>
  <pageSetup horizontalDpi="600" verticalDpi="600" orientation="portrait" paperSize="8" scale="85" r:id="rId2"/>
  <colBreaks count="1" manualBreakCount="1">
    <brk id="16" min="1" max="8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B2:AA90"/>
  <sheetViews>
    <sheetView zoomScalePageLayoutView="0" workbookViewId="0" topLeftCell="B1">
      <selection activeCell="D6" sqref="D6:J6"/>
    </sheetView>
  </sheetViews>
  <sheetFormatPr defaultColWidth="9.140625" defaultRowHeight="12.75"/>
  <cols>
    <col min="3" max="3" width="22.7109375" style="0" customWidth="1"/>
    <col min="4" max="4" width="12.00390625" style="0" customWidth="1"/>
    <col min="7" max="7" width="10.7109375" style="0" customWidth="1"/>
    <col min="10" max="10" width="10.140625" style="0" bestFit="1" customWidth="1"/>
    <col min="14" max="14" width="9.57421875" style="0" customWidth="1"/>
  </cols>
  <sheetData>
    <row r="2" spans="2:14" ht="18" customHeight="1">
      <c r="B2" s="150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2:14" ht="12.75"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2:27" ht="15.75">
      <c r="B4" s="10" t="s">
        <v>1</v>
      </c>
      <c r="C4" s="11"/>
      <c r="D4" s="166"/>
      <c r="E4" s="167"/>
      <c r="F4" s="167"/>
      <c r="G4" s="167"/>
      <c r="H4" s="167"/>
      <c r="I4" s="167"/>
      <c r="J4" s="168"/>
      <c r="K4" s="13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2:27" ht="12.75">
      <c r="B5" s="148" t="s">
        <v>66</v>
      </c>
      <c r="C5" s="149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</row>
    <row r="6" spans="2:27" ht="12.75">
      <c r="B6" s="148" t="s">
        <v>26</v>
      </c>
      <c r="C6" s="149"/>
      <c r="D6" s="169"/>
      <c r="E6" s="170"/>
      <c r="F6" s="170"/>
      <c r="G6" s="170"/>
      <c r="H6" s="170"/>
      <c r="I6" s="170"/>
      <c r="J6" s="171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2:27" ht="12.75">
      <c r="B7" s="66" t="s">
        <v>71</v>
      </c>
      <c r="C7" s="66"/>
      <c r="D7" s="70" t="s">
        <v>110</v>
      </c>
      <c r="E7" s="67"/>
      <c r="F7" s="67"/>
      <c r="G7" s="67"/>
      <c r="H7" s="67"/>
      <c r="I7" s="67"/>
      <c r="J7" s="67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</row>
    <row r="8" spans="2:27" ht="12.75">
      <c r="B8" s="66"/>
      <c r="C8" s="66"/>
      <c r="D8" s="69" t="s">
        <v>64</v>
      </c>
      <c r="E8" s="69" t="s">
        <v>65</v>
      </c>
      <c r="F8" s="67"/>
      <c r="G8" s="67"/>
      <c r="H8" s="67"/>
      <c r="I8" s="67"/>
      <c r="J8" s="67"/>
      <c r="K8" s="68"/>
      <c r="L8" s="155" t="s">
        <v>92</v>
      </c>
      <c r="M8" s="155"/>
      <c r="N8" s="155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</row>
    <row r="9" spans="2:27" ht="12.75">
      <c r="B9" s="177" t="s">
        <v>70</v>
      </c>
      <c r="C9" s="177"/>
      <c r="D9" s="118">
        <v>450</v>
      </c>
      <c r="E9" s="118">
        <v>400</v>
      </c>
      <c r="F9" s="67"/>
      <c r="G9" s="67"/>
      <c r="H9" s="67"/>
      <c r="I9" s="67"/>
      <c r="J9" s="67"/>
      <c r="K9" s="68"/>
      <c r="L9" s="40"/>
      <c r="M9" s="40"/>
      <c r="N9" s="40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</row>
    <row r="10" spans="2:5" ht="12.75">
      <c r="B10" s="178"/>
      <c r="C10" s="178"/>
      <c r="D10" s="119">
        <v>900</v>
      </c>
      <c r="E10" s="119">
        <v>900</v>
      </c>
    </row>
    <row r="11" spans="2:15" ht="12.75">
      <c r="B11" s="132" t="s">
        <v>2</v>
      </c>
      <c r="C11" s="132"/>
      <c r="D11" s="9" t="s">
        <v>3</v>
      </c>
      <c r="E11" s="9" t="s">
        <v>4</v>
      </c>
      <c r="H11" s="47" t="s">
        <v>48</v>
      </c>
      <c r="I11" s="48">
        <v>500</v>
      </c>
      <c r="L11" s="155" t="s">
        <v>81</v>
      </c>
      <c r="M11" s="155"/>
      <c r="N11" s="82">
        <f>E12*D34/(D12+E12)</f>
        <v>3.6370473947368427</v>
      </c>
      <c r="O11" s="91" t="s">
        <v>82</v>
      </c>
    </row>
    <row r="12" spans="2:15" ht="15">
      <c r="B12" s="142"/>
      <c r="C12" s="142"/>
      <c r="D12" s="71">
        <v>425</v>
      </c>
      <c r="E12" s="71">
        <v>335</v>
      </c>
      <c r="H12" s="49" t="s">
        <v>49</v>
      </c>
      <c r="I12" s="50">
        <v>35</v>
      </c>
      <c r="N12" s="99">
        <f>N11*304.8</f>
        <v>1108.5720459157897</v>
      </c>
      <c r="O12" s="97" t="s">
        <v>54</v>
      </c>
    </row>
    <row r="13" spans="2:4" ht="12.75">
      <c r="B13" s="132" t="s">
        <v>8</v>
      </c>
      <c r="C13" s="132"/>
      <c r="D13" s="4">
        <f>D12+E12</f>
        <v>760</v>
      </c>
    </row>
    <row r="14" spans="2:4" ht="12.75">
      <c r="B14" s="132" t="s">
        <v>5</v>
      </c>
      <c r="C14" s="132"/>
      <c r="D14" s="4">
        <v>5</v>
      </c>
    </row>
    <row r="15" spans="2:16" ht="15">
      <c r="B15" s="154" t="s">
        <v>6</v>
      </c>
      <c r="C15" s="154"/>
      <c r="D15" s="64">
        <f>D13*1.1/(D14)</f>
        <v>167.20000000000002</v>
      </c>
      <c r="H15" s="47" t="s">
        <v>17</v>
      </c>
      <c r="I15" s="72">
        <v>11</v>
      </c>
      <c r="J15" s="99">
        <f>I15*0.3048</f>
        <v>3.3528000000000002</v>
      </c>
      <c r="K15" s="97" t="s">
        <v>93</v>
      </c>
      <c r="M15" s="129" t="s">
        <v>103</v>
      </c>
      <c r="N15" s="129"/>
      <c r="O15" s="107" t="s">
        <v>104</v>
      </c>
      <c r="P15" s="108"/>
    </row>
    <row r="16" spans="2:16" ht="15">
      <c r="B16" s="131" t="s">
        <v>7</v>
      </c>
      <c r="C16" s="131"/>
      <c r="D16" s="3">
        <f>I16*I15</f>
        <v>167.75</v>
      </c>
      <c r="E16" s="130" t="str">
        <f>IF(D16&gt;D15,"O.K","PLEASE CHECK")</f>
        <v>O.K</v>
      </c>
      <c r="F16" s="130"/>
      <c r="H16" s="49" t="s">
        <v>18</v>
      </c>
      <c r="I16" s="73">
        <v>15.25</v>
      </c>
      <c r="J16" s="99">
        <f>I16*0.3048</f>
        <v>4.6482</v>
      </c>
      <c r="K16" s="97" t="s">
        <v>93</v>
      </c>
      <c r="M16" s="128" t="s">
        <v>109</v>
      </c>
      <c r="N16" s="128"/>
      <c r="O16" s="114">
        <v>0.8</v>
      </c>
      <c r="P16" s="109" t="s">
        <v>108</v>
      </c>
    </row>
    <row r="17" spans="2:16" ht="12.75">
      <c r="B17" s="132" t="s">
        <v>86</v>
      </c>
      <c r="C17" s="132"/>
      <c r="D17" s="6">
        <f>D13*2204/D16</f>
        <v>9985.335320417287</v>
      </c>
      <c r="F17" s="82">
        <f>D13/D16</f>
        <v>4.5305514157973175</v>
      </c>
      <c r="G17" s="46" t="s">
        <v>87</v>
      </c>
      <c r="M17" s="128" t="s">
        <v>105</v>
      </c>
      <c r="N17" s="128"/>
      <c r="O17" s="114">
        <v>0.98</v>
      </c>
      <c r="P17" s="109" t="s">
        <v>108</v>
      </c>
    </row>
    <row r="18" spans="2:16" ht="12.75">
      <c r="B18" s="142"/>
      <c r="C18" s="142"/>
      <c r="F18" s="81" t="str">
        <f>IF(F17&lt;D14,"SAFE")</f>
        <v>SAFE</v>
      </c>
      <c r="G18" s="46" t="s">
        <v>88</v>
      </c>
      <c r="M18" s="128" t="s">
        <v>106</v>
      </c>
      <c r="N18" s="128"/>
      <c r="O18" s="114">
        <v>1.15</v>
      </c>
      <c r="P18" s="109" t="s">
        <v>108</v>
      </c>
    </row>
    <row r="19" spans="2:16" ht="15.75">
      <c r="B19" s="152" t="s">
        <v>9</v>
      </c>
      <c r="C19" s="152"/>
      <c r="D19" s="152"/>
      <c r="E19" s="152"/>
      <c r="M19" s="128" t="s">
        <v>107</v>
      </c>
      <c r="N19" s="128"/>
      <c r="O19" s="114">
        <v>1.32</v>
      </c>
      <c r="P19" s="109" t="s">
        <v>108</v>
      </c>
    </row>
    <row r="20" spans="2:12" ht="12.75">
      <c r="B20" s="132" t="s">
        <v>10</v>
      </c>
      <c r="C20" s="132"/>
      <c r="D20" s="123">
        <f>G25</f>
        <v>3.833333333333333</v>
      </c>
      <c r="E20" s="92">
        <f>D20*0.3048</f>
        <v>1.1683999999999999</v>
      </c>
      <c r="F20" s="93" t="s">
        <v>93</v>
      </c>
      <c r="I20" s="40">
        <f>D12</f>
        <v>425</v>
      </c>
      <c r="L20" s="40">
        <f>E12</f>
        <v>335</v>
      </c>
    </row>
    <row r="21" spans="2:6" ht="12.75">
      <c r="B21" s="132" t="s">
        <v>11</v>
      </c>
      <c r="C21" s="132"/>
      <c r="D21" s="6">
        <f>D17*D20*D20*6</f>
        <v>880373.730750124</v>
      </c>
      <c r="E21" s="94">
        <f>D21*0.000113</f>
        <v>99.482231574764</v>
      </c>
      <c r="F21" s="93" t="s">
        <v>94</v>
      </c>
    </row>
    <row r="22" spans="2:6" ht="12.75">
      <c r="B22" s="132" t="s">
        <v>12</v>
      </c>
      <c r="C22" s="132"/>
      <c r="D22" s="7">
        <f>SQRT((D21)/(O19*145*12))</f>
        <v>19.578163358008986</v>
      </c>
      <c r="E22" s="95">
        <f>D22*25.4</f>
        <v>497.2853492934282</v>
      </c>
      <c r="F22" s="93" t="s">
        <v>54</v>
      </c>
    </row>
    <row r="23" spans="2:6" ht="13.5" thickBot="1">
      <c r="B23" s="142"/>
      <c r="C23" s="142"/>
      <c r="E23" s="93"/>
      <c r="F23" s="93"/>
    </row>
    <row r="24" spans="2:15" ht="12.75">
      <c r="B24" s="132" t="s">
        <v>13</v>
      </c>
      <c r="C24" s="132"/>
      <c r="D24" s="1">
        <v>30</v>
      </c>
      <c r="E24" s="93">
        <f>D24*25</f>
        <v>750</v>
      </c>
      <c r="F24" s="93" t="s">
        <v>54</v>
      </c>
      <c r="G24" s="38"/>
      <c r="H24" s="136"/>
      <c r="I24" s="133"/>
      <c r="J24" s="133"/>
      <c r="K24" s="133"/>
      <c r="L24" s="133"/>
      <c r="M24" s="137"/>
      <c r="N24" s="59"/>
      <c r="O24" s="42"/>
    </row>
    <row r="25" spans="2:13" ht="12.75">
      <c r="B25" s="132" t="s">
        <v>14</v>
      </c>
      <c r="C25" s="132"/>
      <c r="D25" s="5">
        <f>D24-2</f>
        <v>28</v>
      </c>
      <c r="E25" s="95">
        <f>E24-40</f>
        <v>710</v>
      </c>
      <c r="F25" s="93" t="s">
        <v>54</v>
      </c>
      <c r="G25" s="122">
        <f>(N30-G31)/2</f>
        <v>3.833333333333333</v>
      </c>
      <c r="H25" s="138"/>
      <c r="I25" s="134"/>
      <c r="J25" s="134"/>
      <c r="K25" s="134"/>
      <c r="L25" s="134"/>
      <c r="M25" s="139"/>
    </row>
    <row r="26" spans="2:13" ht="13.5" thickBot="1">
      <c r="B26" s="142"/>
      <c r="C26" s="142"/>
      <c r="E26" s="93"/>
      <c r="F26" s="93"/>
      <c r="G26" s="39"/>
      <c r="H26" s="140"/>
      <c r="I26" s="135"/>
      <c r="J26" s="135"/>
      <c r="K26" s="135"/>
      <c r="L26" s="135"/>
      <c r="M26" s="141"/>
    </row>
    <row r="27" spans="2:13" ht="13.5" thickBot="1">
      <c r="B27" s="132" t="s">
        <v>95</v>
      </c>
      <c r="C27" s="132"/>
      <c r="D27" s="22">
        <f>D21/(39885*0.91*D25)</f>
        <v>0.8662795359560267</v>
      </c>
      <c r="E27" s="94">
        <f>D27*645</f>
        <v>558.7503006916372</v>
      </c>
      <c r="F27" s="93" t="s">
        <v>33</v>
      </c>
      <c r="G27" s="33"/>
      <c r="H27" s="136"/>
      <c r="I27" s="90"/>
      <c r="J27" s="133"/>
      <c r="K27" s="133"/>
      <c r="L27" s="90"/>
      <c r="M27" s="137"/>
    </row>
    <row r="28" spans="2:13" ht="12.75">
      <c r="B28" s="142"/>
      <c r="C28" s="142"/>
      <c r="D28" s="18"/>
      <c r="E28" s="93"/>
      <c r="F28" s="93"/>
      <c r="G28" s="33"/>
      <c r="H28" s="138"/>
      <c r="I28" s="143"/>
      <c r="J28" s="134"/>
      <c r="K28" s="134"/>
      <c r="L28" s="143"/>
      <c r="M28" s="139"/>
    </row>
    <row r="29" spans="2:13" ht="12.75">
      <c r="B29" s="132" t="s">
        <v>97</v>
      </c>
      <c r="C29" s="132"/>
      <c r="D29" s="22">
        <f>12*0.31/(D27)</f>
        <v>4.294225876979311</v>
      </c>
      <c r="E29" s="95">
        <f>D29*25.4</f>
        <v>109.0733372752745</v>
      </c>
      <c r="F29" s="93" t="s">
        <v>54</v>
      </c>
      <c r="G29" s="33"/>
      <c r="H29" s="138"/>
      <c r="I29" s="144"/>
      <c r="J29" s="134"/>
      <c r="K29" s="134"/>
      <c r="L29" s="144"/>
      <c r="M29" s="139"/>
    </row>
    <row r="30" spans="2:16" ht="15.75">
      <c r="B30" s="132" t="s">
        <v>115</v>
      </c>
      <c r="C30" s="132"/>
      <c r="D30" s="22">
        <f>12*0.48/(D27)</f>
        <v>6.649123938548612</v>
      </c>
      <c r="E30" s="95">
        <f>D30*25.4</f>
        <v>168.88774803913472</v>
      </c>
      <c r="F30" s="93" t="s">
        <v>54</v>
      </c>
      <c r="G30" s="33"/>
      <c r="H30" s="138"/>
      <c r="I30" s="144"/>
      <c r="J30" s="134"/>
      <c r="K30" s="134"/>
      <c r="L30" s="144"/>
      <c r="M30" s="139"/>
      <c r="N30" s="65">
        <f>I15</f>
        <v>11</v>
      </c>
      <c r="O30" s="46"/>
      <c r="P30" s="40"/>
    </row>
    <row r="31" spans="2:13" ht="12.75">
      <c r="B31" s="130" t="s">
        <v>121</v>
      </c>
      <c r="C31" s="130"/>
      <c r="D31" s="130"/>
      <c r="E31" s="130"/>
      <c r="G31" s="122">
        <f>D36/12</f>
        <v>3.3333333333333335</v>
      </c>
      <c r="H31" s="138"/>
      <c r="I31" s="144"/>
      <c r="J31" s="134"/>
      <c r="K31" s="134"/>
      <c r="L31" s="144"/>
      <c r="M31" s="139"/>
    </row>
    <row r="32" spans="2:13" ht="12.75">
      <c r="B32" s="142"/>
      <c r="C32" s="142"/>
      <c r="D32" s="142"/>
      <c r="G32" s="33"/>
      <c r="H32" s="138"/>
      <c r="I32" s="144"/>
      <c r="J32" s="134"/>
      <c r="K32" s="134"/>
      <c r="L32" s="144"/>
      <c r="M32" s="139"/>
    </row>
    <row r="33" spans="2:13" ht="16.5" thickBot="1">
      <c r="B33" s="152" t="s">
        <v>15</v>
      </c>
      <c r="C33" s="152"/>
      <c r="D33" s="152"/>
      <c r="G33" s="33"/>
      <c r="H33" s="138"/>
      <c r="I33" s="145"/>
      <c r="J33" s="134"/>
      <c r="K33" s="134"/>
      <c r="L33" s="145"/>
      <c r="M33" s="139"/>
    </row>
    <row r="34" spans="2:13" ht="13.5" thickBot="1">
      <c r="B34" s="132" t="s">
        <v>10</v>
      </c>
      <c r="C34" s="132"/>
      <c r="D34" s="88">
        <f>2.515*3.2808</f>
        <v>8.251212</v>
      </c>
      <c r="E34" s="96">
        <f>D34*0.3048</f>
        <v>2.5149694176</v>
      </c>
      <c r="F34" s="97" t="s">
        <v>93</v>
      </c>
      <c r="G34" s="33"/>
      <c r="H34" s="140"/>
      <c r="I34" s="89"/>
      <c r="J34" s="135"/>
      <c r="K34" s="135"/>
      <c r="L34" s="89"/>
      <c r="M34" s="141"/>
    </row>
    <row r="35" spans="2:13" ht="12.75">
      <c r="B35" s="158"/>
      <c r="C35" s="158"/>
      <c r="D35" s="9" t="s">
        <v>24</v>
      </c>
      <c r="E35" s="9" t="s">
        <v>25</v>
      </c>
      <c r="G35" s="38"/>
      <c r="H35" s="133"/>
      <c r="I35" s="133"/>
      <c r="J35" s="133"/>
      <c r="K35" s="133"/>
      <c r="L35" s="133"/>
      <c r="M35" s="137"/>
    </row>
    <row r="36" spans="2:13" ht="12.75">
      <c r="B36" s="132" t="s">
        <v>23</v>
      </c>
      <c r="C36" s="132"/>
      <c r="D36" s="8">
        <v>40</v>
      </c>
      <c r="E36" s="1">
        <v>40</v>
      </c>
      <c r="F36" s="5" t="s">
        <v>42</v>
      </c>
      <c r="G36" s="122">
        <f>(N30-G31)/2</f>
        <v>3.833333333333333</v>
      </c>
      <c r="H36" s="142"/>
      <c r="I36" s="142"/>
      <c r="J36" s="142"/>
      <c r="K36" s="142"/>
      <c r="L36" s="142"/>
      <c r="M36" s="139"/>
    </row>
    <row r="37" spans="2:15" ht="13.5" thickBot="1">
      <c r="B37" s="158"/>
      <c r="C37" s="158"/>
      <c r="D37" s="103">
        <f>D36*25</f>
        <v>1000</v>
      </c>
      <c r="E37" s="97">
        <f>E36*25</f>
        <v>1000</v>
      </c>
      <c r="F37" s="97" t="s">
        <v>41</v>
      </c>
      <c r="G37" s="37"/>
      <c r="H37" s="135"/>
      <c r="I37" s="135"/>
      <c r="J37" s="135"/>
      <c r="K37" s="135"/>
      <c r="L37" s="135"/>
      <c r="M37" s="141"/>
      <c r="N37" s="78"/>
      <c r="O37" s="41"/>
    </row>
    <row r="38" spans="2:13" ht="12.75">
      <c r="B38" s="132" t="s">
        <v>16</v>
      </c>
      <c r="C38" s="132"/>
      <c r="H38" s="74"/>
      <c r="I38" s="34"/>
      <c r="L38" s="76"/>
      <c r="M38" s="77"/>
    </row>
    <row r="39" spans="2:13" ht="12.75">
      <c r="B39" s="132" t="s">
        <v>19</v>
      </c>
      <c r="C39" s="132"/>
      <c r="D39" s="45">
        <f>D17*(G25+G36)</f>
        <v>76554.23745653253</v>
      </c>
      <c r="E39" s="98">
        <f>D39*0.014594</f>
        <v>1117.2325414406357</v>
      </c>
      <c r="F39" s="97" t="s">
        <v>98</v>
      </c>
      <c r="H39" s="120">
        <f>(J43/2)-N11</f>
        <v>3.9879526052631573</v>
      </c>
      <c r="I39" s="35"/>
      <c r="J39" s="175">
        <f>D34</f>
        <v>8.251212</v>
      </c>
      <c r="K39" s="176"/>
      <c r="L39" s="75"/>
      <c r="M39" s="121">
        <f>(J43-H39-J39)</f>
        <v>3.0108353947368425</v>
      </c>
    </row>
    <row r="40" spans="2:6" ht="12.75">
      <c r="B40" s="132" t="s">
        <v>21</v>
      </c>
      <c r="C40" s="132"/>
      <c r="D40" s="6">
        <f>D39*D34*D34</f>
        <v>5212003.830979791</v>
      </c>
      <c r="E40" s="99">
        <f>D40*0.000113</f>
        <v>588.9564329007163</v>
      </c>
      <c r="F40" s="97" t="s">
        <v>94</v>
      </c>
    </row>
    <row r="41" spans="2:8" ht="12.75">
      <c r="B41" s="132" t="s">
        <v>20</v>
      </c>
      <c r="C41" s="132"/>
      <c r="G41" s="15"/>
      <c r="H41" s="15"/>
    </row>
    <row r="42" spans="2:13" ht="12.75">
      <c r="B42" s="132" t="s">
        <v>22</v>
      </c>
      <c r="C42" s="132"/>
      <c r="D42" s="23">
        <f>SQRT((D40/(O19*145*D36)))</f>
        <v>26.09164138432032</v>
      </c>
      <c r="E42" s="98">
        <f>D42*25.4</f>
        <v>662.7276911617361</v>
      </c>
      <c r="F42" s="97" t="s">
        <v>54</v>
      </c>
      <c r="H42" s="43"/>
      <c r="M42" s="44"/>
    </row>
    <row r="43" spans="2:11" ht="15.75">
      <c r="B43" s="142"/>
      <c r="C43" s="142"/>
      <c r="J43" s="179">
        <f>I16</f>
        <v>15.25</v>
      </c>
      <c r="K43" s="179"/>
    </row>
    <row r="44" spans="2:4" ht="15.75">
      <c r="B44" s="152" t="s">
        <v>27</v>
      </c>
      <c r="C44" s="152"/>
      <c r="D44" s="152"/>
    </row>
    <row r="45" spans="2:12" ht="12.75">
      <c r="B45" s="132" t="s">
        <v>28</v>
      </c>
      <c r="C45" s="132"/>
      <c r="D45" s="6">
        <f>D34</f>
        <v>8.251212</v>
      </c>
      <c r="E45" s="99">
        <f>D45*0.3048</f>
        <v>2.5149694176</v>
      </c>
      <c r="F45" s="97" t="s">
        <v>93</v>
      </c>
      <c r="H45" s="130" t="s">
        <v>69</v>
      </c>
      <c r="I45" s="130"/>
      <c r="J45" s="130"/>
      <c r="K45" s="130"/>
      <c r="L45" s="130"/>
    </row>
    <row r="46" spans="2:11" ht="12.75">
      <c r="B46" s="132" t="s">
        <v>29</v>
      </c>
      <c r="C46" s="132"/>
      <c r="D46" s="6">
        <f>E36/12</f>
        <v>3.3333333333333335</v>
      </c>
      <c r="E46" s="99">
        <f>D46*0.3048</f>
        <v>1.016</v>
      </c>
      <c r="F46" s="97" t="s">
        <v>93</v>
      </c>
      <c r="I46" s="5" t="s">
        <v>78</v>
      </c>
      <c r="J46" s="6">
        <f>D17*(D20-(D25/2/12))</f>
        <v>26627.560854446092</v>
      </c>
      <c r="K46" t="s">
        <v>73</v>
      </c>
    </row>
    <row r="47" spans="2:10" ht="12.75">
      <c r="B47" s="132" t="s">
        <v>36</v>
      </c>
      <c r="C47" s="132"/>
      <c r="D47" s="5">
        <f>E36-2</f>
        <v>38</v>
      </c>
      <c r="E47" s="97">
        <f>E37-40</f>
        <v>960</v>
      </c>
      <c r="F47" s="97" t="s">
        <v>54</v>
      </c>
      <c r="I47" s="5"/>
      <c r="J47" s="5"/>
    </row>
    <row r="48" spans="2:11" ht="12.75">
      <c r="B48" s="132" t="s">
        <v>30</v>
      </c>
      <c r="C48" s="132"/>
      <c r="D48" s="86">
        <f>D45/D46</f>
        <v>2.4753636</v>
      </c>
      <c r="E48" s="87" t="s">
        <v>91</v>
      </c>
      <c r="I48" s="5"/>
      <c r="J48" s="7">
        <f>J46*0.004448</f>
        <v>118.43939068057621</v>
      </c>
      <c r="K48" t="s">
        <v>74</v>
      </c>
    </row>
    <row r="49" spans="2:10" ht="14.25">
      <c r="B49" s="15"/>
      <c r="C49" s="172" t="str">
        <f>IF(D48&lt;2.5,"It is necessary to design it as a Deep Beam","It is not necessary to go for Deep Beam")</f>
        <v>It is necessary to design it as a Deep Beam</v>
      </c>
      <c r="D49" s="172"/>
      <c r="E49" s="172"/>
      <c r="F49" s="36"/>
      <c r="G49" s="36"/>
      <c r="I49" s="5"/>
      <c r="J49" s="5"/>
    </row>
    <row r="50" spans="2:11" ht="14.25">
      <c r="B50" s="156" t="s">
        <v>35</v>
      </c>
      <c r="C50" s="156"/>
      <c r="D50" s="17"/>
      <c r="E50" s="17"/>
      <c r="F50" s="17"/>
      <c r="G50" s="17"/>
      <c r="I50" s="5" t="s">
        <v>40</v>
      </c>
      <c r="J50" s="6">
        <f>J48*1.5/(D25*25.4)</f>
        <v>0.24980186448378</v>
      </c>
      <c r="K50" t="s">
        <v>76</v>
      </c>
    </row>
    <row r="51" spans="2:11" ht="14.25">
      <c r="B51" s="19" t="s">
        <v>28</v>
      </c>
      <c r="C51" s="19"/>
      <c r="D51" s="57">
        <f>D34</f>
        <v>8.251212</v>
      </c>
      <c r="E51" s="99">
        <f>D51*0.3048</f>
        <v>2.5149694176</v>
      </c>
      <c r="F51" s="97" t="s">
        <v>93</v>
      </c>
      <c r="G51" s="17" t="s">
        <v>79</v>
      </c>
      <c r="I51" s="5" t="s">
        <v>75</v>
      </c>
      <c r="J51" s="80">
        <f>0.25*SQRT(I12)</f>
        <v>1.479019945774904</v>
      </c>
      <c r="K51" t="s">
        <v>76</v>
      </c>
    </row>
    <row r="52" spans="2:7" ht="14.25">
      <c r="B52" s="19" t="s">
        <v>29</v>
      </c>
      <c r="C52" s="19"/>
      <c r="D52" s="57">
        <f>E36/12</f>
        <v>3.3333333333333335</v>
      </c>
      <c r="E52" s="99">
        <f>D52*0.3048</f>
        <v>1.016</v>
      </c>
      <c r="F52" s="97" t="s">
        <v>93</v>
      </c>
      <c r="G52" s="17"/>
    </row>
    <row r="53" spans="2:12" ht="12.75">
      <c r="B53" s="132" t="s">
        <v>31</v>
      </c>
      <c r="C53" s="132"/>
      <c r="D53" s="16">
        <f>0.2*(D51+1.5*D52)</f>
        <v>2.6502424</v>
      </c>
      <c r="E53" s="100">
        <f>D53*304.8</f>
        <v>807.7938835200001</v>
      </c>
      <c r="F53" s="97" t="s">
        <v>54</v>
      </c>
      <c r="I53" s="79"/>
      <c r="J53" s="130" t="str">
        <f>IF(J51&gt;J50,"SHEAR CHECK O.K","PLEASE CHECK")</f>
        <v>SHEAR CHECK O.K</v>
      </c>
      <c r="K53" s="130"/>
      <c r="L53" s="130"/>
    </row>
    <row r="54" spans="2:10" ht="12.75">
      <c r="B54" s="132" t="s">
        <v>32</v>
      </c>
      <c r="C54" s="132"/>
      <c r="D54" s="6">
        <f>D40/(39885*D53*12)</f>
        <v>4.108925679996672</v>
      </c>
      <c r="E54" s="104">
        <f>D54*645</f>
        <v>2650.257063597853</v>
      </c>
      <c r="F54" s="97" t="s">
        <v>33</v>
      </c>
      <c r="I54" s="5"/>
      <c r="J54" s="5"/>
    </row>
    <row r="55" spans="2:12" ht="12.75">
      <c r="B55" s="142"/>
      <c r="C55" s="142"/>
      <c r="D55" s="21"/>
      <c r="E55" s="5"/>
      <c r="J55" s="165"/>
      <c r="K55" s="165"/>
      <c r="L55" s="165"/>
    </row>
    <row r="56" spans="2:3" ht="12.75">
      <c r="B56" s="142"/>
      <c r="C56" s="142"/>
    </row>
    <row r="57" spans="2:4" ht="12.75">
      <c r="B57" s="157" t="s">
        <v>34</v>
      </c>
      <c r="C57" s="157"/>
      <c r="D57" s="60"/>
    </row>
    <row r="58" spans="2:6" ht="12.75">
      <c r="B58" s="159" t="s">
        <v>32</v>
      </c>
      <c r="C58" s="159"/>
      <c r="D58" s="61">
        <f>D40/(33000*0.86*D47)</f>
        <v>4.832910343625784</v>
      </c>
      <c r="E58" s="99">
        <f>D58*645</f>
        <v>3117.227171638631</v>
      </c>
      <c r="F58" s="97" t="s">
        <v>33</v>
      </c>
    </row>
    <row r="59" spans="2:5" ht="12.75">
      <c r="B59" s="160"/>
      <c r="C59" s="160"/>
      <c r="D59" s="62"/>
      <c r="E59" s="5"/>
    </row>
    <row r="60" spans="2:11" ht="15.75">
      <c r="B60" s="152" t="s">
        <v>37</v>
      </c>
      <c r="C60" s="152"/>
      <c r="D60" s="152"/>
      <c r="H60" s="32"/>
      <c r="I60" s="32"/>
      <c r="J60" s="32"/>
      <c r="K60" s="32"/>
    </row>
    <row r="61" spans="2:11" ht="15">
      <c r="B61" s="132" t="s">
        <v>67</v>
      </c>
      <c r="C61" s="132"/>
      <c r="D61" s="7">
        <f>E39*((E37/1000)-((E37-40)/2000))</f>
        <v>580.9609215491306</v>
      </c>
      <c r="E61" s="5" t="s">
        <v>39</v>
      </c>
      <c r="H61" s="51" t="s">
        <v>61</v>
      </c>
      <c r="I61" s="24"/>
      <c r="J61" s="52" t="s">
        <v>62</v>
      </c>
      <c r="K61" s="53" t="s">
        <v>63</v>
      </c>
    </row>
    <row r="62" spans="2:11" ht="15">
      <c r="B62" s="132" t="s">
        <v>123</v>
      </c>
      <c r="C62" s="132"/>
      <c r="D62" s="18"/>
      <c r="H62" s="27" t="s">
        <v>49</v>
      </c>
      <c r="I62" s="26" t="s">
        <v>48</v>
      </c>
      <c r="J62" s="25"/>
      <c r="K62" s="28"/>
    </row>
    <row r="63" spans="2:11" ht="14.25">
      <c r="B63" s="142"/>
      <c r="C63" s="142"/>
      <c r="H63" s="29">
        <v>20</v>
      </c>
      <c r="I63" s="30">
        <v>415</v>
      </c>
      <c r="J63" s="30">
        <v>0.91</v>
      </c>
      <c r="K63" s="31">
        <v>2.8</v>
      </c>
    </row>
    <row r="64" spans="2:11" ht="14.25">
      <c r="B64" s="132" t="s">
        <v>40</v>
      </c>
      <c r="C64" s="132"/>
      <c r="D64" s="7">
        <f>D61*10^3*1.5/(D37*(E37-40))</f>
        <v>0.9077514399205164</v>
      </c>
      <c r="H64" s="29">
        <v>25</v>
      </c>
      <c r="I64" s="30">
        <v>415</v>
      </c>
      <c r="J64" s="30">
        <v>1.1</v>
      </c>
      <c r="K64" s="31">
        <v>3.1</v>
      </c>
    </row>
    <row r="65" spans="2:11" ht="14.25">
      <c r="B65" s="132" t="s">
        <v>84</v>
      </c>
      <c r="C65" s="132"/>
      <c r="H65" s="29">
        <v>30</v>
      </c>
      <c r="I65" s="30">
        <v>415</v>
      </c>
      <c r="J65" s="30">
        <v>1.31</v>
      </c>
      <c r="K65" s="31">
        <v>3.5</v>
      </c>
    </row>
    <row r="66" spans="2:11" ht="14.25">
      <c r="B66" s="132" t="s">
        <v>43</v>
      </c>
      <c r="C66" s="132"/>
      <c r="D66" s="20"/>
      <c r="H66" s="54">
        <v>35</v>
      </c>
      <c r="I66" s="55">
        <v>415</v>
      </c>
      <c r="J66" s="55">
        <v>1.5</v>
      </c>
      <c r="K66" s="56">
        <v>3.7</v>
      </c>
    </row>
    <row r="67" spans="2:11" ht="14.25">
      <c r="B67" s="164" t="s">
        <v>44</v>
      </c>
      <c r="C67" s="164"/>
      <c r="D67" s="6">
        <f>D78*100/(D37*(E37-40))</f>
        <v>0.27266777781635854</v>
      </c>
      <c r="E67" s="5" t="s">
        <v>46</v>
      </c>
      <c r="H67" s="24"/>
      <c r="I67" s="24"/>
      <c r="J67" s="24"/>
      <c r="K67" s="24"/>
    </row>
    <row r="68" spans="2:5" ht="12.75">
      <c r="B68" s="161" t="s">
        <v>45</v>
      </c>
      <c r="C68" s="161"/>
      <c r="D68" s="61">
        <f>E58*100/(D37*(E37-40))</f>
        <v>0.32471116371235736</v>
      </c>
      <c r="E68" s="5" t="s">
        <v>46</v>
      </c>
    </row>
    <row r="69" spans="2:3" ht="12.75">
      <c r="B69" s="142"/>
      <c r="C69" s="142"/>
    </row>
    <row r="70" spans="2:4" ht="12.75">
      <c r="B70" s="132" t="s">
        <v>47</v>
      </c>
      <c r="C70" s="132"/>
      <c r="D70" s="1">
        <v>0.4</v>
      </c>
    </row>
    <row r="71" spans="2:5" ht="12.75">
      <c r="B71" s="132" t="s">
        <v>85</v>
      </c>
      <c r="C71" s="132"/>
      <c r="D71" s="18">
        <f>(D64-D70)*D37*(E37-40)</f>
        <v>487441.38232369575</v>
      </c>
      <c r="E71" t="s">
        <v>99</v>
      </c>
    </row>
    <row r="72" spans="2:7" ht="12.75">
      <c r="B72" s="132" t="s">
        <v>50</v>
      </c>
      <c r="C72" s="132"/>
      <c r="D72" s="22">
        <f>0.87*I66*F72*78.5*(E37-40)/(D71)</f>
        <v>223.27794878877535</v>
      </c>
      <c r="E72" t="s">
        <v>54</v>
      </c>
      <c r="F72" s="116">
        <v>4</v>
      </c>
      <c r="G72" s="117" t="s">
        <v>113</v>
      </c>
    </row>
    <row r="73" spans="2:5" ht="12.75">
      <c r="B73" s="132" t="s">
        <v>51</v>
      </c>
      <c r="C73" s="132"/>
      <c r="D73" s="22">
        <f>0.87*I66*F72*113*(E37-40)/(D71)</f>
        <v>321.406474052632</v>
      </c>
      <c r="E73" t="s">
        <v>54</v>
      </c>
    </row>
    <row r="74" spans="3:5" ht="12.75">
      <c r="C74" s="162" t="s">
        <v>101</v>
      </c>
      <c r="D74" s="162"/>
      <c r="E74" s="162"/>
    </row>
    <row r="75" spans="2:3" ht="12.75">
      <c r="B75" s="142"/>
      <c r="C75" s="142"/>
    </row>
    <row r="76" spans="2:3" ht="15.75">
      <c r="B76" s="152" t="s">
        <v>52</v>
      </c>
      <c r="C76" s="152"/>
    </row>
    <row r="77" spans="2:5" ht="12.75">
      <c r="B77" s="132" t="s">
        <v>53</v>
      </c>
      <c r="C77" s="132"/>
      <c r="D77" s="5">
        <f>0.2*E37</f>
        <v>200</v>
      </c>
      <c r="E77" s="5" t="s">
        <v>54</v>
      </c>
    </row>
    <row r="78" spans="2:5" ht="12.75">
      <c r="B78" s="132" t="s">
        <v>55</v>
      </c>
      <c r="C78" s="132"/>
      <c r="D78" s="105">
        <f>E54*0.5*(D48-0.5)</f>
        <v>2617.6106670370423</v>
      </c>
      <c r="E78" s="5" t="s">
        <v>33</v>
      </c>
    </row>
    <row r="79" spans="2:5" ht="12.75">
      <c r="B79" s="2"/>
      <c r="C79" s="162" t="s">
        <v>116</v>
      </c>
      <c r="D79" s="162"/>
      <c r="E79" s="162"/>
    </row>
    <row r="80" spans="2:5" ht="12.75">
      <c r="B80" s="159" t="s">
        <v>56</v>
      </c>
      <c r="C80" s="159"/>
      <c r="D80" s="63">
        <f>E58*0.5*(D48-0.5)</f>
        <v>3078.828543892952</v>
      </c>
      <c r="E80" s="60"/>
    </row>
    <row r="81" spans="2:5" ht="12.75">
      <c r="B81" s="60"/>
      <c r="C81" s="163"/>
      <c r="D81" s="163"/>
      <c r="E81" s="163"/>
    </row>
    <row r="82" spans="2:3" ht="12.75">
      <c r="B82" s="158"/>
      <c r="C82" s="158"/>
    </row>
    <row r="83" spans="2:4" ht="15.75">
      <c r="B83" s="152" t="s">
        <v>57</v>
      </c>
      <c r="C83" s="152"/>
      <c r="D83" s="20"/>
    </row>
    <row r="84" spans="2:6" ht="12.75">
      <c r="B84" s="132" t="s">
        <v>10</v>
      </c>
      <c r="C84" s="132"/>
      <c r="D84" s="124">
        <f>H39-((D9/2000)*3.2808)</f>
        <v>3.249772605263157</v>
      </c>
      <c r="E84" s="101">
        <f>D84*0.3048</f>
        <v>0.9905306900842104</v>
      </c>
      <c r="F84" s="97" t="s">
        <v>93</v>
      </c>
    </row>
    <row r="85" spans="2:6" ht="12.75">
      <c r="B85" s="132" t="s">
        <v>58</v>
      </c>
      <c r="C85" s="132"/>
      <c r="D85" s="18">
        <f>D39</f>
        <v>76554.23745653253</v>
      </c>
      <c r="E85" s="98">
        <f>D85*0.014594</f>
        <v>1117.2325414406357</v>
      </c>
      <c r="F85" s="97" t="s">
        <v>98</v>
      </c>
    </row>
    <row r="86" spans="2:6" ht="12.75">
      <c r="B86" s="132" t="s">
        <v>60</v>
      </c>
      <c r="C86" s="132"/>
      <c r="D86" s="6">
        <f>D85*D84*D84*6</f>
        <v>4850945.909362171</v>
      </c>
      <c r="E86" s="99">
        <f>D86*0.000113</f>
        <v>548.1568877579252</v>
      </c>
      <c r="F86" s="97" t="s">
        <v>94</v>
      </c>
    </row>
    <row r="87" spans="2:6" ht="12.75">
      <c r="B87" s="132" t="s">
        <v>59</v>
      </c>
      <c r="C87" s="132"/>
      <c r="D87" s="5"/>
      <c r="E87" s="97"/>
      <c r="F87" s="97"/>
    </row>
    <row r="88" spans="2:6" ht="12.75">
      <c r="B88" s="132" t="s">
        <v>22</v>
      </c>
      <c r="C88" s="132"/>
      <c r="D88" s="6">
        <f>SQRT((D86/(O19*145*E36)))</f>
        <v>25.171682989518985</v>
      </c>
      <c r="E88" s="98">
        <f>D88*25.4</f>
        <v>639.3607479337821</v>
      </c>
      <c r="F88" s="97" t="s">
        <v>54</v>
      </c>
    </row>
    <row r="89" spans="2:6" ht="12.75">
      <c r="B89" s="132" t="s">
        <v>100</v>
      </c>
      <c r="C89" s="132"/>
      <c r="D89" s="22">
        <f>D86/(39885*0.91*(E36-2))</f>
        <v>3.5171577433198604</v>
      </c>
      <c r="E89" s="98">
        <f>D89*645</f>
        <v>2268.5667444413098</v>
      </c>
      <c r="F89" s="97" t="s">
        <v>33</v>
      </c>
    </row>
    <row r="90" spans="2:5" ht="12.75">
      <c r="B90" s="158"/>
      <c r="C90" s="158"/>
      <c r="D90" s="21"/>
      <c r="E90" s="5"/>
    </row>
  </sheetData>
  <sheetProtection/>
  <mergeCells count="105">
    <mergeCell ref="D4:J4"/>
    <mergeCell ref="D6:J6"/>
    <mergeCell ref="C49:E49"/>
    <mergeCell ref="J43:K43"/>
    <mergeCell ref="B35:C35"/>
    <mergeCell ref="B18:C18"/>
    <mergeCell ref="B36:C36"/>
    <mergeCell ref="B38:C38"/>
    <mergeCell ref="B39:C39"/>
    <mergeCell ref="H45:L45"/>
    <mergeCell ref="B66:C66"/>
    <mergeCell ref="B58:C58"/>
    <mergeCell ref="B59:C59"/>
    <mergeCell ref="B63:C63"/>
    <mergeCell ref="B65:C65"/>
    <mergeCell ref="B53:C53"/>
    <mergeCell ref="B55:C55"/>
    <mergeCell ref="B73:C73"/>
    <mergeCell ref="C74:E74"/>
    <mergeCell ref="B76:C76"/>
    <mergeCell ref="B75:C75"/>
    <mergeCell ref="B67:C67"/>
    <mergeCell ref="J55:L55"/>
    <mergeCell ref="B82:C82"/>
    <mergeCell ref="C81:E81"/>
    <mergeCell ref="B85:C85"/>
    <mergeCell ref="B86:C86"/>
    <mergeCell ref="B90:C90"/>
    <mergeCell ref="B56:C56"/>
    <mergeCell ref="B87:C87"/>
    <mergeCell ref="B77:C77"/>
    <mergeCell ref="B78:C78"/>
    <mergeCell ref="B72:C72"/>
    <mergeCell ref="B68:C68"/>
    <mergeCell ref="B70:C70"/>
    <mergeCell ref="B71:C71"/>
    <mergeCell ref="B69:C69"/>
    <mergeCell ref="B88:C88"/>
    <mergeCell ref="B89:C89"/>
    <mergeCell ref="B80:C80"/>
    <mergeCell ref="C79:E79"/>
    <mergeCell ref="B83:C83"/>
    <mergeCell ref="B84:C84"/>
    <mergeCell ref="B48:C48"/>
    <mergeCell ref="B47:C47"/>
    <mergeCell ref="B45:C45"/>
    <mergeCell ref="B46:C46"/>
    <mergeCell ref="B40:C40"/>
    <mergeCell ref="B43:C43"/>
    <mergeCell ref="B64:C64"/>
    <mergeCell ref="B23:C23"/>
    <mergeCell ref="B31:E31"/>
    <mergeCell ref="B50:C50"/>
    <mergeCell ref="B61:C61"/>
    <mergeCell ref="B62:C62"/>
    <mergeCell ref="B57:C57"/>
    <mergeCell ref="B54:C54"/>
    <mergeCell ref="B37:C37"/>
    <mergeCell ref="B41:C41"/>
    <mergeCell ref="B28:C28"/>
    <mergeCell ref="B26:C26"/>
    <mergeCell ref="B32:D32"/>
    <mergeCell ref="B30:C30"/>
    <mergeCell ref="B44:D44"/>
    <mergeCell ref="L8:N8"/>
    <mergeCell ref="L11:M11"/>
    <mergeCell ref="B42:C42"/>
    <mergeCell ref="B9:C10"/>
    <mergeCell ref="B33:D33"/>
    <mergeCell ref="B20:C20"/>
    <mergeCell ref="B21:C21"/>
    <mergeCell ref="B22:C22"/>
    <mergeCell ref="B60:D60"/>
    <mergeCell ref="B34:C34"/>
    <mergeCell ref="B24:C24"/>
    <mergeCell ref="B25:C25"/>
    <mergeCell ref="B27:C27"/>
    <mergeCell ref="B29:C29"/>
    <mergeCell ref="B6:C6"/>
    <mergeCell ref="B12:C12"/>
    <mergeCell ref="M17:N17"/>
    <mergeCell ref="B14:C14"/>
    <mergeCell ref="B15:C15"/>
    <mergeCell ref="B16:C16"/>
    <mergeCell ref="B17:C17"/>
    <mergeCell ref="H27:H34"/>
    <mergeCell ref="M27:M34"/>
    <mergeCell ref="J39:K39"/>
    <mergeCell ref="E16:F16"/>
    <mergeCell ref="B5:C5"/>
    <mergeCell ref="B2:N3"/>
    <mergeCell ref="B19:E19"/>
    <mergeCell ref="D5:AA5"/>
    <mergeCell ref="B11:C11"/>
    <mergeCell ref="B13:C13"/>
    <mergeCell ref="M15:N15"/>
    <mergeCell ref="M18:N18"/>
    <mergeCell ref="M19:N19"/>
    <mergeCell ref="M16:N16"/>
    <mergeCell ref="J27:K34"/>
    <mergeCell ref="J53:L53"/>
    <mergeCell ref="H24:M26"/>
    <mergeCell ref="H35:M37"/>
    <mergeCell ref="I28:I33"/>
    <mergeCell ref="L28:L33"/>
  </mergeCells>
  <dataValidations count="3">
    <dataValidation type="list" allowBlank="1" showInputMessage="1" showErrorMessage="1" sqref="I11">
      <formula1>"415,500"</formula1>
    </dataValidation>
    <dataValidation type="list" allowBlank="1" showInputMessage="1" showErrorMessage="1" sqref="I12">
      <formula1>"20,25,30,35,40"</formula1>
    </dataValidation>
    <dataValidation type="list" allowBlank="1" showInputMessage="1" showErrorMessage="1" sqref="F72">
      <formula1>"2,4,6"</formula1>
    </dataValidation>
  </dataValidations>
  <printOptions/>
  <pageMargins left="0.75" right="0.75" top="1" bottom="1" header="0.5" footer="0.5"/>
  <pageSetup horizontalDpi="600" verticalDpi="600" orientation="portrait" paperSize="8" scale="84" r:id="rId2"/>
  <colBreaks count="1" manualBreakCount="1">
    <brk id="16" min="1" max="8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B2:AA90"/>
  <sheetViews>
    <sheetView zoomScalePageLayoutView="0" workbookViewId="0" topLeftCell="B1">
      <selection activeCell="D6" sqref="D6:J6"/>
    </sheetView>
  </sheetViews>
  <sheetFormatPr defaultColWidth="9.140625" defaultRowHeight="12.75"/>
  <cols>
    <col min="3" max="3" width="22.7109375" style="0" customWidth="1"/>
    <col min="4" max="4" width="12.00390625" style="0" customWidth="1"/>
    <col min="7" max="7" width="10.7109375" style="0" customWidth="1"/>
    <col min="10" max="10" width="10.140625" style="0" bestFit="1" customWidth="1"/>
    <col min="14" max="14" width="9.57421875" style="0" customWidth="1"/>
  </cols>
  <sheetData>
    <row r="2" spans="2:14" ht="18" customHeight="1">
      <c r="B2" s="150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2:14" ht="12.75"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2:27" ht="15.75">
      <c r="B4" s="10" t="s">
        <v>1</v>
      </c>
      <c r="C4" s="11"/>
      <c r="D4" s="166"/>
      <c r="E4" s="167"/>
      <c r="F4" s="167"/>
      <c r="G4" s="167"/>
      <c r="H4" s="167"/>
      <c r="I4" s="167"/>
      <c r="J4" s="168"/>
      <c r="K4" s="13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2:27" ht="12.75">
      <c r="B5" s="148" t="s">
        <v>66</v>
      </c>
      <c r="C5" s="149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</row>
    <row r="6" spans="2:27" ht="12.75">
      <c r="B6" s="148" t="s">
        <v>26</v>
      </c>
      <c r="C6" s="149"/>
      <c r="D6" s="169"/>
      <c r="E6" s="170"/>
      <c r="F6" s="170"/>
      <c r="G6" s="170"/>
      <c r="H6" s="170"/>
      <c r="I6" s="170"/>
      <c r="J6" s="171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2:27" ht="12.75">
      <c r="B7" s="66" t="s">
        <v>71</v>
      </c>
      <c r="C7" s="66"/>
      <c r="D7" s="70" t="s">
        <v>117</v>
      </c>
      <c r="E7" s="67"/>
      <c r="F7" s="67"/>
      <c r="G7" s="67"/>
      <c r="H7" s="67"/>
      <c r="I7" s="67"/>
      <c r="J7" s="67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</row>
    <row r="8" spans="2:27" ht="12.75">
      <c r="B8" s="66"/>
      <c r="C8" s="66"/>
      <c r="D8" s="69" t="s">
        <v>64</v>
      </c>
      <c r="E8" s="69" t="s">
        <v>65</v>
      </c>
      <c r="F8" s="67"/>
      <c r="G8" s="67"/>
      <c r="H8" s="67"/>
      <c r="I8" s="67"/>
      <c r="J8" s="67"/>
      <c r="K8" s="68"/>
      <c r="L8" s="155" t="s">
        <v>92</v>
      </c>
      <c r="M8" s="155"/>
      <c r="N8" s="155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</row>
    <row r="9" spans="2:27" ht="12.75">
      <c r="B9" s="177" t="s">
        <v>70</v>
      </c>
      <c r="C9" s="177"/>
      <c r="D9" s="118">
        <v>300</v>
      </c>
      <c r="E9" s="118">
        <v>300</v>
      </c>
      <c r="F9" s="67"/>
      <c r="G9" s="67"/>
      <c r="H9" s="67"/>
      <c r="I9" s="67"/>
      <c r="J9" s="67"/>
      <c r="K9" s="68"/>
      <c r="L9" s="40"/>
      <c r="M9" s="40"/>
      <c r="N9" s="40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</row>
    <row r="10" spans="2:5" ht="12.75">
      <c r="B10" s="178"/>
      <c r="C10" s="178"/>
      <c r="D10" s="119">
        <v>900</v>
      </c>
      <c r="E10" s="119">
        <v>750</v>
      </c>
    </row>
    <row r="11" spans="2:15" ht="12.75">
      <c r="B11" s="132" t="s">
        <v>2</v>
      </c>
      <c r="C11" s="132"/>
      <c r="D11" s="9" t="s">
        <v>3</v>
      </c>
      <c r="E11" s="9" t="s">
        <v>4</v>
      </c>
      <c r="H11" s="47" t="s">
        <v>48</v>
      </c>
      <c r="I11" s="48">
        <v>500</v>
      </c>
      <c r="L11" s="155" t="s">
        <v>81</v>
      </c>
      <c r="M11" s="155"/>
      <c r="N11" s="82">
        <f>E12*D34/(D12+E12)</f>
        <v>2.7509362831858413</v>
      </c>
      <c r="O11" s="91" t="s">
        <v>82</v>
      </c>
    </row>
    <row r="12" spans="2:15" ht="15">
      <c r="B12" s="142"/>
      <c r="C12" s="142"/>
      <c r="D12" s="71">
        <v>315</v>
      </c>
      <c r="E12" s="71">
        <v>250</v>
      </c>
      <c r="H12" s="49" t="s">
        <v>49</v>
      </c>
      <c r="I12" s="50">
        <v>40</v>
      </c>
      <c r="N12" s="99">
        <f>N11*304.8</f>
        <v>838.4853791150445</v>
      </c>
      <c r="O12" s="97" t="s">
        <v>54</v>
      </c>
    </row>
    <row r="13" spans="2:4" ht="12.75">
      <c r="B13" s="132" t="s">
        <v>8</v>
      </c>
      <c r="C13" s="132"/>
      <c r="D13" s="4">
        <f>D12+E12</f>
        <v>565</v>
      </c>
    </row>
    <row r="14" spans="2:4" ht="12.75">
      <c r="B14" s="132" t="s">
        <v>5</v>
      </c>
      <c r="C14" s="132"/>
      <c r="D14" s="4">
        <v>5</v>
      </c>
    </row>
    <row r="15" spans="2:16" ht="15">
      <c r="B15" s="154" t="s">
        <v>6</v>
      </c>
      <c r="C15" s="154"/>
      <c r="D15" s="64">
        <f>D13*1.1/(D14)</f>
        <v>124.3</v>
      </c>
      <c r="H15" s="47" t="s">
        <v>17</v>
      </c>
      <c r="I15" s="72">
        <v>10</v>
      </c>
      <c r="J15" s="99">
        <f>I15*0.3048</f>
        <v>3.048</v>
      </c>
      <c r="K15" s="97" t="s">
        <v>93</v>
      </c>
      <c r="M15" s="129" t="s">
        <v>103</v>
      </c>
      <c r="N15" s="129"/>
      <c r="O15" s="107" t="s">
        <v>104</v>
      </c>
      <c r="P15" s="108"/>
    </row>
    <row r="16" spans="2:16" ht="15">
      <c r="B16" s="131" t="s">
        <v>7</v>
      </c>
      <c r="C16" s="131"/>
      <c r="D16" s="3">
        <f>I16*I15</f>
        <v>132.5</v>
      </c>
      <c r="E16" s="130" t="str">
        <f>IF(D16&gt;D15,"O.K","PLEASE CHECK")</f>
        <v>O.K</v>
      </c>
      <c r="F16" s="130"/>
      <c r="H16" s="49" t="s">
        <v>18</v>
      </c>
      <c r="I16" s="73">
        <v>13.25</v>
      </c>
      <c r="J16" s="99">
        <f>I16*0.3048</f>
        <v>4.038600000000001</v>
      </c>
      <c r="K16" s="97" t="s">
        <v>93</v>
      </c>
      <c r="M16" s="128" t="s">
        <v>109</v>
      </c>
      <c r="N16" s="128"/>
      <c r="O16" s="114">
        <v>0.8</v>
      </c>
      <c r="P16" s="109" t="s">
        <v>108</v>
      </c>
    </row>
    <row r="17" spans="2:16" ht="12.75">
      <c r="B17" s="132" t="s">
        <v>86</v>
      </c>
      <c r="C17" s="132"/>
      <c r="D17" s="6">
        <f>D13*2204/D16</f>
        <v>9398.188679245282</v>
      </c>
      <c r="F17" s="82">
        <f>D13/D16</f>
        <v>4.264150943396227</v>
      </c>
      <c r="G17" s="46" t="s">
        <v>87</v>
      </c>
      <c r="M17" s="128" t="s">
        <v>105</v>
      </c>
      <c r="N17" s="128"/>
      <c r="O17" s="114">
        <v>0.98</v>
      </c>
      <c r="P17" s="109" t="s">
        <v>108</v>
      </c>
    </row>
    <row r="18" spans="2:16" ht="12.75">
      <c r="B18" s="142"/>
      <c r="C18" s="142"/>
      <c r="F18" s="81" t="str">
        <f>IF(F17&lt;D14,"SAFE")</f>
        <v>SAFE</v>
      </c>
      <c r="G18" s="46" t="s">
        <v>88</v>
      </c>
      <c r="M18" s="128" t="s">
        <v>106</v>
      </c>
      <c r="N18" s="128"/>
      <c r="O18" s="114">
        <v>1.15</v>
      </c>
      <c r="P18" s="109" t="s">
        <v>108</v>
      </c>
    </row>
    <row r="19" spans="2:16" ht="15.75">
      <c r="B19" s="152" t="s">
        <v>9</v>
      </c>
      <c r="C19" s="152"/>
      <c r="D19" s="152"/>
      <c r="E19" s="152"/>
      <c r="M19" s="128" t="s">
        <v>107</v>
      </c>
      <c r="N19" s="128"/>
      <c r="O19" s="114">
        <v>1.32</v>
      </c>
      <c r="P19" s="109" t="s">
        <v>108</v>
      </c>
    </row>
    <row r="20" spans="2:12" ht="12.75">
      <c r="B20" s="132" t="s">
        <v>10</v>
      </c>
      <c r="C20" s="132"/>
      <c r="D20" s="88">
        <f>G25</f>
        <v>3.5</v>
      </c>
      <c r="E20" s="92">
        <f>D20*0.3048</f>
        <v>1.0668</v>
      </c>
      <c r="F20" s="93" t="s">
        <v>93</v>
      </c>
      <c r="I20" s="40">
        <f>D12</f>
        <v>315</v>
      </c>
      <c r="L20" s="40">
        <f>E12</f>
        <v>250</v>
      </c>
    </row>
    <row r="21" spans="2:6" ht="12.75">
      <c r="B21" s="132" t="s">
        <v>11</v>
      </c>
      <c r="C21" s="132"/>
      <c r="D21" s="6">
        <f>D17*D20*D20*6</f>
        <v>690766.8679245282</v>
      </c>
      <c r="E21" s="94">
        <f>D21*0.000113</f>
        <v>78.05665607547168</v>
      </c>
      <c r="F21" s="93" t="s">
        <v>94</v>
      </c>
    </row>
    <row r="22" spans="2:6" ht="12.75">
      <c r="B22" s="132" t="s">
        <v>12</v>
      </c>
      <c r="C22" s="132"/>
      <c r="D22" s="7">
        <f>SQRT((D21)/(O19*145*12))</f>
        <v>17.342198770764</v>
      </c>
      <c r="E22" s="95">
        <f>D22*25.4</f>
        <v>440.49184877740555</v>
      </c>
      <c r="F22" s="93" t="s">
        <v>54</v>
      </c>
    </row>
    <row r="23" spans="2:6" ht="13.5" thickBot="1">
      <c r="B23" s="142"/>
      <c r="C23" s="142"/>
      <c r="E23" s="93"/>
      <c r="F23" s="93"/>
    </row>
    <row r="24" spans="2:15" ht="12.75">
      <c r="B24" s="132" t="s">
        <v>13</v>
      </c>
      <c r="C24" s="132"/>
      <c r="D24" s="1">
        <v>24</v>
      </c>
      <c r="E24" s="93">
        <f>D24*25</f>
        <v>600</v>
      </c>
      <c r="F24" s="93" t="s">
        <v>54</v>
      </c>
      <c r="G24" s="38"/>
      <c r="H24" s="136"/>
      <c r="I24" s="133"/>
      <c r="J24" s="133"/>
      <c r="K24" s="133"/>
      <c r="L24" s="133"/>
      <c r="M24" s="137"/>
      <c r="N24" s="59"/>
      <c r="O24" s="42"/>
    </row>
    <row r="25" spans="2:13" ht="12.75">
      <c r="B25" s="132" t="s">
        <v>14</v>
      </c>
      <c r="C25" s="132"/>
      <c r="D25" s="5">
        <f>D24-2</f>
        <v>22</v>
      </c>
      <c r="E25" s="95">
        <f>E24-40</f>
        <v>560</v>
      </c>
      <c r="F25" s="93" t="s">
        <v>54</v>
      </c>
      <c r="G25" s="58">
        <f>(N30-G31)/2</f>
        <v>3.5</v>
      </c>
      <c r="H25" s="138"/>
      <c r="I25" s="134"/>
      <c r="J25" s="134"/>
      <c r="K25" s="134"/>
      <c r="L25" s="134"/>
      <c r="M25" s="139"/>
    </row>
    <row r="26" spans="2:13" ht="13.5" thickBot="1">
      <c r="B26" s="142"/>
      <c r="C26" s="142"/>
      <c r="E26" s="93"/>
      <c r="F26" s="93"/>
      <c r="G26" s="39"/>
      <c r="H26" s="140"/>
      <c r="I26" s="135"/>
      <c r="J26" s="135"/>
      <c r="K26" s="135"/>
      <c r="L26" s="135"/>
      <c r="M26" s="141"/>
    </row>
    <row r="27" spans="2:13" ht="13.5" thickBot="1">
      <c r="B27" s="132" t="s">
        <v>95</v>
      </c>
      <c r="C27" s="132"/>
      <c r="D27" s="22">
        <f>D21/(39885*0.91*D25)</f>
        <v>0.8650831028374011</v>
      </c>
      <c r="E27" s="94">
        <f>D27*645</f>
        <v>557.9786013301238</v>
      </c>
      <c r="F27" s="93" t="s">
        <v>33</v>
      </c>
      <c r="G27" s="33"/>
      <c r="H27" s="136"/>
      <c r="I27" s="90"/>
      <c r="J27" s="133"/>
      <c r="K27" s="133"/>
      <c r="L27" s="90"/>
      <c r="M27" s="137"/>
    </row>
    <row r="28" spans="2:13" ht="12.75">
      <c r="B28" s="142"/>
      <c r="C28" s="142"/>
      <c r="D28" s="18"/>
      <c r="E28" s="93"/>
      <c r="F28" s="93"/>
      <c r="G28" s="33"/>
      <c r="H28" s="138"/>
      <c r="I28" s="143"/>
      <c r="J28" s="134"/>
      <c r="K28" s="134"/>
      <c r="L28" s="143"/>
      <c r="M28" s="139"/>
    </row>
    <row r="29" spans="2:13" ht="12.75">
      <c r="B29" s="132" t="s">
        <v>97</v>
      </c>
      <c r="C29" s="132"/>
      <c r="D29" s="22">
        <f>12*0.31/(D27)</f>
        <v>4.300164906468185</v>
      </c>
      <c r="E29" s="95">
        <f>D29*25.4</f>
        <v>109.22418862429188</v>
      </c>
      <c r="F29" s="93" t="s">
        <v>54</v>
      </c>
      <c r="G29" s="33"/>
      <c r="H29" s="138"/>
      <c r="I29" s="144"/>
      <c r="J29" s="134"/>
      <c r="K29" s="134"/>
      <c r="L29" s="144"/>
      <c r="M29" s="139"/>
    </row>
    <row r="30" spans="2:16" ht="15.75">
      <c r="B30" s="132" t="s">
        <v>115</v>
      </c>
      <c r="C30" s="132"/>
      <c r="D30" s="22">
        <f>12*0.48/(D27)</f>
        <v>6.658319855176544</v>
      </c>
      <c r="E30" s="95">
        <f>D30*25.4</f>
        <v>169.12132432148422</v>
      </c>
      <c r="F30" s="93" t="s">
        <v>54</v>
      </c>
      <c r="G30" s="33"/>
      <c r="H30" s="138"/>
      <c r="I30" s="144"/>
      <c r="J30" s="134"/>
      <c r="K30" s="134"/>
      <c r="L30" s="144"/>
      <c r="M30" s="139"/>
      <c r="N30" s="65">
        <f>I15</f>
        <v>10</v>
      </c>
      <c r="O30" s="46"/>
      <c r="P30" s="40"/>
    </row>
    <row r="31" spans="2:13" ht="12.75">
      <c r="B31" s="130" t="s">
        <v>119</v>
      </c>
      <c r="C31" s="130"/>
      <c r="D31" s="130"/>
      <c r="E31" s="130"/>
      <c r="G31" s="58">
        <f>D36/12</f>
        <v>3</v>
      </c>
      <c r="H31" s="138"/>
      <c r="I31" s="144"/>
      <c r="J31" s="134"/>
      <c r="K31" s="134"/>
      <c r="L31" s="144"/>
      <c r="M31" s="139"/>
    </row>
    <row r="32" spans="2:13" ht="12.75">
      <c r="B32" s="142"/>
      <c r="C32" s="142"/>
      <c r="D32" s="142"/>
      <c r="G32" s="33"/>
      <c r="H32" s="138"/>
      <c r="I32" s="144"/>
      <c r="J32" s="134"/>
      <c r="K32" s="134"/>
      <c r="L32" s="144"/>
      <c r="M32" s="139"/>
    </row>
    <row r="33" spans="2:13" ht="16.5" thickBot="1">
      <c r="B33" s="152" t="s">
        <v>15</v>
      </c>
      <c r="C33" s="152"/>
      <c r="D33" s="152"/>
      <c r="G33" s="33"/>
      <c r="H33" s="138"/>
      <c r="I33" s="145"/>
      <c r="J33" s="134"/>
      <c r="K33" s="134"/>
      <c r="L33" s="145"/>
      <c r="M33" s="139"/>
    </row>
    <row r="34" spans="2:13" ht="13.5" thickBot="1">
      <c r="B34" s="132" t="s">
        <v>10</v>
      </c>
      <c r="C34" s="132"/>
      <c r="D34" s="88">
        <f>1.895*3.2808</f>
        <v>6.217116000000001</v>
      </c>
      <c r="E34" s="96">
        <f>D34*0.3048</f>
        <v>1.8949769568000003</v>
      </c>
      <c r="F34" s="97" t="s">
        <v>93</v>
      </c>
      <c r="G34" s="33"/>
      <c r="H34" s="140"/>
      <c r="I34" s="89"/>
      <c r="J34" s="135"/>
      <c r="K34" s="135"/>
      <c r="L34" s="89"/>
      <c r="M34" s="141"/>
    </row>
    <row r="35" spans="2:13" ht="12.75">
      <c r="B35" s="158"/>
      <c r="C35" s="158"/>
      <c r="D35" s="9" t="s">
        <v>24</v>
      </c>
      <c r="E35" s="9" t="s">
        <v>25</v>
      </c>
      <c r="G35" s="38"/>
      <c r="H35" s="133"/>
      <c r="I35" s="133"/>
      <c r="J35" s="133"/>
      <c r="K35" s="133"/>
      <c r="L35" s="133"/>
      <c r="M35" s="137"/>
    </row>
    <row r="36" spans="2:13" ht="12.75">
      <c r="B36" s="132" t="s">
        <v>23</v>
      </c>
      <c r="C36" s="132"/>
      <c r="D36" s="8">
        <v>36</v>
      </c>
      <c r="E36" s="1">
        <v>36</v>
      </c>
      <c r="F36" s="5" t="s">
        <v>42</v>
      </c>
      <c r="G36" s="58">
        <f>(N30-G31)/2</f>
        <v>3.5</v>
      </c>
      <c r="H36" s="142"/>
      <c r="I36" s="142"/>
      <c r="J36" s="142"/>
      <c r="K36" s="142"/>
      <c r="L36" s="142"/>
      <c r="M36" s="139"/>
    </row>
    <row r="37" spans="2:15" ht="13.5" thickBot="1">
      <c r="B37" s="158"/>
      <c r="C37" s="158"/>
      <c r="D37" s="103">
        <f>D36*25</f>
        <v>900</v>
      </c>
      <c r="E37" s="97">
        <f>E36*25</f>
        <v>900</v>
      </c>
      <c r="F37" s="97" t="s">
        <v>41</v>
      </c>
      <c r="G37" s="37"/>
      <c r="H37" s="135"/>
      <c r="I37" s="135"/>
      <c r="J37" s="135"/>
      <c r="K37" s="135"/>
      <c r="L37" s="135"/>
      <c r="M37" s="141"/>
      <c r="N37" s="78"/>
      <c r="O37" s="41"/>
    </row>
    <row r="38" spans="2:13" ht="12.75">
      <c r="B38" s="132" t="s">
        <v>16</v>
      </c>
      <c r="C38" s="132"/>
      <c r="H38" s="74"/>
      <c r="I38" s="34"/>
      <c r="L38" s="76"/>
      <c r="M38" s="77"/>
    </row>
    <row r="39" spans="2:13" ht="12.75">
      <c r="B39" s="132" t="s">
        <v>19</v>
      </c>
      <c r="C39" s="132"/>
      <c r="D39" s="45">
        <f>D17*(G25+G36)</f>
        <v>65787.32075471697</v>
      </c>
      <c r="E39" s="98">
        <f>D39*0.014594</f>
        <v>960.1001590943395</v>
      </c>
      <c r="F39" s="97" t="s">
        <v>98</v>
      </c>
      <c r="H39" s="120">
        <f>(J43/2)-N11</f>
        <v>3.8740637168141587</v>
      </c>
      <c r="I39" s="35"/>
      <c r="J39" s="175">
        <f>D34</f>
        <v>6.217116000000001</v>
      </c>
      <c r="K39" s="176"/>
      <c r="L39" s="75"/>
      <c r="M39" s="121">
        <f>(J43-H39-J39)</f>
        <v>3.1588202831858396</v>
      </c>
    </row>
    <row r="40" spans="2:6" ht="12.75">
      <c r="B40" s="132" t="s">
        <v>21</v>
      </c>
      <c r="C40" s="132"/>
      <c r="D40" s="6">
        <f>D39*D34*D34</f>
        <v>2542846.478394714</v>
      </c>
      <c r="E40" s="99">
        <f>D40*0.000113</f>
        <v>287.3416520586027</v>
      </c>
      <c r="F40" s="97" t="s">
        <v>94</v>
      </c>
    </row>
    <row r="41" spans="2:8" ht="12.75">
      <c r="B41" s="132" t="s">
        <v>20</v>
      </c>
      <c r="C41" s="132"/>
      <c r="G41" s="15"/>
      <c r="H41" s="15"/>
    </row>
    <row r="42" spans="2:13" ht="12.75">
      <c r="B42" s="132" t="s">
        <v>22</v>
      </c>
      <c r="C42" s="132"/>
      <c r="D42" s="23">
        <f>SQRT((D40/(O19*145*D36)))</f>
        <v>19.21046393932544</v>
      </c>
      <c r="E42" s="98">
        <f>D42*25.4</f>
        <v>487.94578405886614</v>
      </c>
      <c r="F42" s="97" t="s">
        <v>54</v>
      </c>
      <c r="H42" s="43"/>
      <c r="M42" s="44"/>
    </row>
    <row r="43" spans="2:11" ht="15.75">
      <c r="B43" s="142"/>
      <c r="C43" s="142"/>
      <c r="J43" s="179">
        <f>I16</f>
        <v>13.25</v>
      </c>
      <c r="K43" s="179"/>
    </row>
    <row r="44" spans="2:4" ht="15.75">
      <c r="B44" s="152" t="s">
        <v>27</v>
      </c>
      <c r="C44" s="152"/>
      <c r="D44" s="152"/>
    </row>
    <row r="45" spans="2:12" ht="12.75">
      <c r="B45" s="132" t="s">
        <v>28</v>
      </c>
      <c r="C45" s="132"/>
      <c r="D45" s="5">
        <f>D34</f>
        <v>6.217116000000001</v>
      </c>
      <c r="E45" s="99">
        <f>D45*0.3048</f>
        <v>1.8949769568000003</v>
      </c>
      <c r="F45" s="97" t="s">
        <v>93</v>
      </c>
      <c r="H45" s="130" t="s">
        <v>69</v>
      </c>
      <c r="I45" s="130"/>
      <c r="J45" s="130"/>
      <c r="K45" s="130"/>
      <c r="L45" s="130"/>
    </row>
    <row r="46" spans="2:11" ht="12.75">
      <c r="B46" s="132" t="s">
        <v>29</v>
      </c>
      <c r="C46" s="132"/>
      <c r="D46" s="6">
        <f>E36/12</f>
        <v>3</v>
      </c>
      <c r="E46" s="99">
        <f>D46*0.3048</f>
        <v>0.9144000000000001</v>
      </c>
      <c r="F46" s="97" t="s">
        <v>93</v>
      </c>
      <c r="I46" s="5" t="s">
        <v>78</v>
      </c>
      <c r="J46" s="6">
        <f>D17*(D20-(D25/2/12))</f>
        <v>24278.654088050313</v>
      </c>
      <c r="K46" t="s">
        <v>73</v>
      </c>
    </row>
    <row r="47" spans="2:10" ht="12.75">
      <c r="B47" s="132" t="s">
        <v>36</v>
      </c>
      <c r="C47" s="132"/>
      <c r="D47" s="5">
        <f>E36-2</f>
        <v>34</v>
      </c>
      <c r="E47" s="97">
        <f>E37-40</f>
        <v>860</v>
      </c>
      <c r="F47" s="97" t="s">
        <v>54</v>
      </c>
      <c r="I47" s="5"/>
      <c r="J47" s="5"/>
    </row>
    <row r="48" spans="2:11" ht="12.75">
      <c r="B48" s="132" t="s">
        <v>30</v>
      </c>
      <c r="C48" s="132"/>
      <c r="D48" s="86">
        <f>D45/D46</f>
        <v>2.072372</v>
      </c>
      <c r="E48" s="87" t="s">
        <v>91</v>
      </c>
      <c r="I48" s="5"/>
      <c r="J48" s="7">
        <f>J46*0.004448</f>
        <v>107.99145338364778</v>
      </c>
      <c r="K48" t="s">
        <v>74</v>
      </c>
    </row>
    <row r="49" spans="2:10" ht="14.25">
      <c r="B49" s="15"/>
      <c r="C49" s="172" t="str">
        <f>IF(D48&lt;2.5,"It is necessary to design it as a Deep Beam","It is not necessary to go for Deep Beam")</f>
        <v>It is necessary to design it as a Deep Beam</v>
      </c>
      <c r="D49" s="172"/>
      <c r="E49" s="172"/>
      <c r="F49" s="36"/>
      <c r="G49" s="36"/>
      <c r="I49" s="5"/>
      <c r="J49" s="5"/>
    </row>
    <row r="50" spans="2:11" ht="14.25">
      <c r="B50" s="156" t="s">
        <v>35</v>
      </c>
      <c r="C50" s="156"/>
      <c r="D50" s="17"/>
      <c r="E50" s="17"/>
      <c r="F50" s="17"/>
      <c r="G50" s="17"/>
      <c r="I50" s="5" t="s">
        <v>40</v>
      </c>
      <c r="J50" s="6">
        <f>J48*1.5/(D25*25.4)</f>
        <v>0.28988400156669947</v>
      </c>
      <c r="K50" t="s">
        <v>76</v>
      </c>
    </row>
    <row r="51" spans="2:11" ht="14.25">
      <c r="B51" s="19" t="s">
        <v>28</v>
      </c>
      <c r="C51" s="19"/>
      <c r="D51" s="57">
        <f>D34</f>
        <v>6.217116000000001</v>
      </c>
      <c r="E51" s="99">
        <f>D51*0.3048</f>
        <v>1.8949769568000003</v>
      </c>
      <c r="F51" s="97" t="s">
        <v>93</v>
      </c>
      <c r="G51" s="17" t="s">
        <v>79</v>
      </c>
      <c r="I51" s="5" t="s">
        <v>75</v>
      </c>
      <c r="J51" s="80">
        <f>0.25*SQRT(I12)</f>
        <v>1.5811388300841898</v>
      </c>
      <c r="K51" t="s">
        <v>76</v>
      </c>
    </row>
    <row r="52" spans="2:7" ht="14.25">
      <c r="B52" s="19" t="s">
        <v>29</v>
      </c>
      <c r="C52" s="19"/>
      <c r="D52" s="57">
        <f>E36/12</f>
        <v>3</v>
      </c>
      <c r="E52" s="99">
        <f>D52*0.3048</f>
        <v>0.9144000000000001</v>
      </c>
      <c r="F52" s="97" t="s">
        <v>93</v>
      </c>
      <c r="G52" s="17"/>
    </row>
    <row r="53" spans="2:12" ht="12.75">
      <c r="B53" s="132" t="s">
        <v>31</v>
      </c>
      <c r="C53" s="132"/>
      <c r="D53" s="16">
        <f>0.2*(D51+1.5*D52)</f>
        <v>2.1434232000000004</v>
      </c>
      <c r="E53" s="100">
        <f>D53*304.8</f>
        <v>653.3153913600001</v>
      </c>
      <c r="F53" s="97" t="s">
        <v>54</v>
      </c>
      <c r="I53" s="79"/>
      <c r="J53" s="130" t="str">
        <f>IF(J51&gt;J50,"SHEAR CHECK O.K","PLEASE CHECK")</f>
        <v>SHEAR CHECK O.K</v>
      </c>
      <c r="K53" s="130"/>
      <c r="L53" s="130"/>
    </row>
    <row r="54" spans="2:10" ht="12.75">
      <c r="B54" s="132" t="s">
        <v>32</v>
      </c>
      <c r="C54" s="132"/>
      <c r="D54" s="6">
        <f>D40/(39885*D53*12)</f>
        <v>2.478685186890454</v>
      </c>
      <c r="E54" s="104">
        <f>D54*645</f>
        <v>1598.7519455443428</v>
      </c>
      <c r="F54" s="97" t="s">
        <v>33</v>
      </c>
      <c r="I54" s="5"/>
      <c r="J54" s="5"/>
    </row>
    <row r="55" spans="2:12" ht="12.75">
      <c r="B55" s="142"/>
      <c r="C55" s="142"/>
      <c r="D55" s="21"/>
      <c r="E55" s="5"/>
      <c r="J55" s="165"/>
      <c r="K55" s="165"/>
      <c r="L55" s="165"/>
    </row>
    <row r="56" spans="2:3" ht="12.75">
      <c r="B56" s="142"/>
      <c r="C56" s="142"/>
    </row>
    <row r="57" spans="2:4" ht="12.75">
      <c r="B57" s="157" t="s">
        <v>34</v>
      </c>
      <c r="C57" s="157"/>
      <c r="D57" s="60"/>
    </row>
    <row r="58" spans="2:6" ht="12.75">
      <c r="B58" s="159" t="s">
        <v>32</v>
      </c>
      <c r="C58" s="159"/>
      <c r="D58" s="61">
        <f>D40/(33000*0.86*D47)</f>
        <v>2.6352925407232872</v>
      </c>
      <c r="E58" s="99">
        <f>D58*645</f>
        <v>1699.7636887665203</v>
      </c>
      <c r="F58" s="97" t="s">
        <v>33</v>
      </c>
    </row>
    <row r="59" spans="2:5" ht="12.75">
      <c r="B59" s="160"/>
      <c r="C59" s="160"/>
      <c r="D59" s="62"/>
      <c r="E59" s="5"/>
    </row>
    <row r="60" spans="2:11" ht="15.75">
      <c r="B60" s="152" t="s">
        <v>37</v>
      </c>
      <c r="C60" s="152"/>
      <c r="D60" s="152"/>
      <c r="H60" s="32"/>
      <c r="I60" s="32"/>
      <c r="J60" s="32"/>
      <c r="K60" s="32"/>
    </row>
    <row r="61" spans="2:11" ht="15">
      <c r="B61" s="132" t="s">
        <v>67</v>
      </c>
      <c r="C61" s="132"/>
      <c r="D61" s="7">
        <f>E39*((E37/1000)-((E37-40)/2000))</f>
        <v>451.2470747743396</v>
      </c>
      <c r="E61" s="5" t="s">
        <v>39</v>
      </c>
      <c r="H61" s="51" t="s">
        <v>61</v>
      </c>
      <c r="I61" s="24"/>
      <c r="J61" s="52" t="s">
        <v>62</v>
      </c>
      <c r="K61" s="53" t="s">
        <v>63</v>
      </c>
    </row>
    <row r="62" spans="2:11" ht="15">
      <c r="B62" s="132" t="s">
        <v>123</v>
      </c>
      <c r="C62" s="132"/>
      <c r="D62" s="18"/>
      <c r="H62" s="27" t="s">
        <v>49</v>
      </c>
      <c r="I62" s="26" t="s">
        <v>48</v>
      </c>
      <c r="J62" s="25"/>
      <c r="K62" s="28"/>
    </row>
    <row r="63" spans="2:11" ht="14.25">
      <c r="B63" s="142"/>
      <c r="C63" s="142"/>
      <c r="H63" s="29">
        <v>20</v>
      </c>
      <c r="I63" s="30">
        <v>415</v>
      </c>
      <c r="J63" s="30">
        <v>0.91</v>
      </c>
      <c r="K63" s="31">
        <v>2.8</v>
      </c>
    </row>
    <row r="64" spans="2:11" ht="14.25">
      <c r="B64" s="132" t="s">
        <v>40</v>
      </c>
      <c r="C64" s="132"/>
      <c r="D64" s="7">
        <f>D61*10^3*1.5/(D37*(E37-40))</f>
        <v>0.8745098348339914</v>
      </c>
      <c r="H64" s="29">
        <v>25</v>
      </c>
      <c r="I64" s="30">
        <v>415</v>
      </c>
      <c r="J64" s="30">
        <v>1.1</v>
      </c>
      <c r="K64" s="31">
        <v>3.1</v>
      </c>
    </row>
    <row r="65" spans="2:11" ht="14.25">
      <c r="B65" s="132" t="s">
        <v>84</v>
      </c>
      <c r="C65" s="132"/>
      <c r="H65" s="29">
        <v>30</v>
      </c>
      <c r="I65" s="30">
        <v>415</v>
      </c>
      <c r="J65" s="30">
        <v>1.31</v>
      </c>
      <c r="K65" s="31">
        <v>3.5</v>
      </c>
    </row>
    <row r="66" spans="2:11" ht="14.25">
      <c r="B66" s="132" t="s">
        <v>43</v>
      </c>
      <c r="C66" s="132"/>
      <c r="D66" s="20"/>
      <c r="H66" s="54">
        <v>35</v>
      </c>
      <c r="I66" s="55">
        <v>415</v>
      </c>
      <c r="J66" s="55">
        <v>1.5</v>
      </c>
      <c r="K66" s="56">
        <v>3.7</v>
      </c>
    </row>
    <row r="67" spans="2:11" ht="14.25">
      <c r="B67" s="164" t="s">
        <v>44</v>
      </c>
      <c r="C67" s="164"/>
      <c r="D67" s="6">
        <f>D78*100/(D37*(E37-40))</f>
        <v>0.16239229936172153</v>
      </c>
      <c r="E67" s="5" t="s">
        <v>46</v>
      </c>
      <c r="H67" s="24"/>
      <c r="I67" s="24"/>
      <c r="J67" s="24"/>
      <c r="K67" s="24"/>
    </row>
    <row r="68" spans="2:5" ht="12.75">
      <c r="B68" s="161" t="s">
        <v>45</v>
      </c>
      <c r="C68" s="161"/>
      <c r="D68" s="61">
        <f>E58*100/(D37*(E37-40))</f>
        <v>0.2196077117269406</v>
      </c>
      <c r="E68" s="5" t="s">
        <v>46</v>
      </c>
    </row>
    <row r="69" spans="2:3" ht="12.75">
      <c r="B69" s="142"/>
      <c r="C69" s="142"/>
    </row>
    <row r="70" spans="2:4" ht="12.75">
      <c r="B70" s="132" t="s">
        <v>47</v>
      </c>
      <c r="C70" s="132"/>
      <c r="D70" s="1">
        <v>0.38</v>
      </c>
    </row>
    <row r="71" spans="2:5" ht="12.75">
      <c r="B71" s="132" t="s">
        <v>85</v>
      </c>
      <c r="C71" s="132"/>
      <c r="D71" s="18">
        <f>(D64-D70)*D37*(E37-40)</f>
        <v>382750.61216150934</v>
      </c>
      <c r="E71" t="s">
        <v>99</v>
      </c>
    </row>
    <row r="72" spans="2:7" ht="12.75">
      <c r="B72" s="132" t="s">
        <v>50</v>
      </c>
      <c r="C72" s="132"/>
      <c r="D72" s="22">
        <f>0.87*I66*F72*78.5*(E37-40)/(D71)</f>
        <v>254.72968272839438</v>
      </c>
      <c r="E72" t="s">
        <v>54</v>
      </c>
      <c r="F72" s="116">
        <v>4</v>
      </c>
      <c r="G72" s="117" t="s">
        <v>113</v>
      </c>
    </row>
    <row r="73" spans="2:5" ht="12.75">
      <c r="B73" s="132" t="s">
        <v>51</v>
      </c>
      <c r="C73" s="132"/>
      <c r="D73" s="22">
        <f>0.87*I66*F72*113*(E37-40)/(D71)</f>
        <v>366.6809445644403</v>
      </c>
      <c r="E73" t="s">
        <v>54</v>
      </c>
    </row>
    <row r="74" spans="3:5" ht="12.75">
      <c r="C74" s="162" t="s">
        <v>101</v>
      </c>
      <c r="D74" s="162"/>
      <c r="E74" s="162"/>
    </row>
    <row r="75" spans="2:3" ht="12.75">
      <c r="B75" s="142"/>
      <c r="C75" s="142"/>
    </row>
    <row r="76" spans="2:3" ht="15.75">
      <c r="B76" s="152" t="s">
        <v>52</v>
      </c>
      <c r="C76" s="152"/>
    </row>
    <row r="77" spans="2:5" ht="12.75">
      <c r="B77" s="132" t="s">
        <v>53</v>
      </c>
      <c r="C77" s="132"/>
      <c r="D77" s="5">
        <f>0.2*E37</f>
        <v>180</v>
      </c>
      <c r="E77" s="5" t="s">
        <v>54</v>
      </c>
    </row>
    <row r="78" spans="2:5" ht="12.75">
      <c r="B78" s="132" t="s">
        <v>55</v>
      </c>
      <c r="C78" s="132"/>
      <c r="D78" s="105">
        <f>E54*0.5*(D48-0.5)</f>
        <v>1256.9163970597247</v>
      </c>
      <c r="E78" s="5" t="s">
        <v>33</v>
      </c>
    </row>
    <row r="79" spans="2:5" ht="12.75">
      <c r="B79" s="2"/>
      <c r="C79" s="162" t="s">
        <v>127</v>
      </c>
      <c r="D79" s="162"/>
      <c r="E79" s="162"/>
    </row>
    <row r="80" spans="2:5" ht="12.75">
      <c r="B80" s="159" t="s">
        <v>56</v>
      </c>
      <c r="C80" s="159"/>
      <c r="D80" s="63">
        <f>E58*0.5*(D48-0.5)</f>
        <v>1336.3304154165955</v>
      </c>
      <c r="E80" s="60"/>
    </row>
    <row r="81" spans="2:5" ht="12.75">
      <c r="B81" s="60"/>
      <c r="C81" s="163"/>
      <c r="D81" s="163"/>
      <c r="E81" s="163"/>
    </row>
    <row r="82" spans="2:3" ht="12.75">
      <c r="B82" s="158"/>
      <c r="C82" s="158"/>
    </row>
    <row r="83" spans="2:4" ht="15.75">
      <c r="B83" s="152" t="s">
        <v>57</v>
      </c>
      <c r="C83" s="152"/>
      <c r="D83" s="20"/>
    </row>
    <row r="84" spans="2:6" ht="12.75">
      <c r="B84" s="132" t="s">
        <v>10</v>
      </c>
      <c r="C84" s="132"/>
      <c r="D84" s="85">
        <f>H39-((D10/2000)*3.2808)</f>
        <v>2.3977037168141586</v>
      </c>
      <c r="E84" s="101">
        <f>D84*0.3048</f>
        <v>0.7308200928849555</v>
      </c>
      <c r="F84" s="97" t="s">
        <v>93</v>
      </c>
    </row>
    <row r="85" spans="2:6" ht="12.75">
      <c r="B85" s="132" t="s">
        <v>58</v>
      </c>
      <c r="C85" s="132"/>
      <c r="D85" s="18">
        <f>D39</f>
        <v>65787.32075471697</v>
      </c>
      <c r="E85" s="98">
        <f>D85*0.014594</f>
        <v>960.1001590943395</v>
      </c>
      <c r="F85" s="97" t="s">
        <v>98</v>
      </c>
    </row>
    <row r="86" spans="2:6" ht="12.75">
      <c r="B86" s="132" t="s">
        <v>60</v>
      </c>
      <c r="C86" s="132"/>
      <c r="D86" s="6">
        <f>D85*D84*D84*6</f>
        <v>2269261.1766567715</v>
      </c>
      <c r="E86" s="99">
        <f>D86*0.000113</f>
        <v>256.42651296221516</v>
      </c>
      <c r="F86" s="97" t="s">
        <v>94</v>
      </c>
    </row>
    <row r="87" spans="2:6" ht="12.75">
      <c r="B87" s="132" t="s">
        <v>59</v>
      </c>
      <c r="C87" s="132"/>
      <c r="D87" s="5"/>
      <c r="E87" s="97"/>
      <c r="F87" s="97"/>
    </row>
    <row r="88" spans="2:6" ht="12.75">
      <c r="B88" s="132" t="s">
        <v>22</v>
      </c>
      <c r="C88" s="132"/>
      <c r="D88" s="6">
        <f>SQRT((D86/(O19*145*E36)))</f>
        <v>18.14763452621658</v>
      </c>
      <c r="E88" s="98">
        <f>D88*25.4</f>
        <v>460.94991696590114</v>
      </c>
      <c r="F88" s="97" t="s">
        <v>54</v>
      </c>
    </row>
    <row r="89" spans="2:6" ht="12.75">
      <c r="B89" s="132" t="s">
        <v>100</v>
      </c>
      <c r="C89" s="132"/>
      <c r="D89" s="22">
        <f>D86/(39885*0.91*(E36-2))</f>
        <v>1.838885030286874</v>
      </c>
      <c r="E89" s="98">
        <f>D89*645</f>
        <v>1186.0808445350337</v>
      </c>
      <c r="F89" s="97" t="s">
        <v>33</v>
      </c>
    </row>
    <row r="90" spans="2:5" ht="12.75">
      <c r="B90" s="158"/>
      <c r="C90" s="158"/>
      <c r="D90" s="21"/>
      <c r="E90" s="5"/>
    </row>
  </sheetData>
  <sheetProtection/>
  <mergeCells count="105">
    <mergeCell ref="B9:C10"/>
    <mergeCell ref="M17:N17"/>
    <mergeCell ref="M15:N15"/>
    <mergeCell ref="M18:N18"/>
    <mergeCell ref="B14:C14"/>
    <mergeCell ref="B15:C15"/>
    <mergeCell ref="B16:C16"/>
    <mergeCell ref="B17:C17"/>
    <mergeCell ref="J53:L53"/>
    <mergeCell ref="H24:M26"/>
    <mergeCell ref="H35:M37"/>
    <mergeCell ref="I28:I33"/>
    <mergeCell ref="L28:L33"/>
    <mergeCell ref="H27:H34"/>
    <mergeCell ref="M27:M34"/>
    <mergeCell ref="B5:C5"/>
    <mergeCell ref="B2:N3"/>
    <mergeCell ref="B19:E19"/>
    <mergeCell ref="D5:AA5"/>
    <mergeCell ref="B11:C11"/>
    <mergeCell ref="B13:C13"/>
    <mergeCell ref="B6:C6"/>
    <mergeCell ref="B12:C12"/>
    <mergeCell ref="M19:N19"/>
    <mergeCell ref="M16:N16"/>
    <mergeCell ref="B33:D33"/>
    <mergeCell ref="B20:C20"/>
    <mergeCell ref="B21:C21"/>
    <mergeCell ref="B22:C22"/>
    <mergeCell ref="J39:K39"/>
    <mergeCell ref="E16:F16"/>
    <mergeCell ref="J27:K34"/>
    <mergeCell ref="B27:C27"/>
    <mergeCell ref="B29:C29"/>
    <mergeCell ref="B28:C28"/>
    <mergeCell ref="B26:C26"/>
    <mergeCell ref="B32:D32"/>
    <mergeCell ref="B30:C30"/>
    <mergeCell ref="B64:C64"/>
    <mergeCell ref="B23:C23"/>
    <mergeCell ref="B31:E31"/>
    <mergeCell ref="B50:C50"/>
    <mergeCell ref="B61:C61"/>
    <mergeCell ref="B62:C62"/>
    <mergeCell ref="B57:C57"/>
    <mergeCell ref="B60:D60"/>
    <mergeCell ref="B55:C55"/>
    <mergeCell ref="B54:C54"/>
    <mergeCell ref="B37:C37"/>
    <mergeCell ref="B41:C41"/>
    <mergeCell ref="B42:C42"/>
    <mergeCell ref="B48:C48"/>
    <mergeCell ref="B47:C47"/>
    <mergeCell ref="L8:N8"/>
    <mergeCell ref="L11:M11"/>
    <mergeCell ref="B34:C34"/>
    <mergeCell ref="B24:C24"/>
    <mergeCell ref="B25:C25"/>
    <mergeCell ref="B66:C66"/>
    <mergeCell ref="B43:C43"/>
    <mergeCell ref="B58:C58"/>
    <mergeCell ref="B59:C59"/>
    <mergeCell ref="B63:C63"/>
    <mergeCell ref="B44:D44"/>
    <mergeCell ref="B45:C45"/>
    <mergeCell ref="B46:C46"/>
    <mergeCell ref="B65:C65"/>
    <mergeCell ref="B53:C53"/>
    <mergeCell ref="C81:E81"/>
    <mergeCell ref="B85:C85"/>
    <mergeCell ref="B86:C86"/>
    <mergeCell ref="B68:C68"/>
    <mergeCell ref="B70:C70"/>
    <mergeCell ref="B71:C71"/>
    <mergeCell ref="B69:C69"/>
    <mergeCell ref="C74:E74"/>
    <mergeCell ref="B76:C76"/>
    <mergeCell ref="B75:C75"/>
    <mergeCell ref="B88:C88"/>
    <mergeCell ref="B89:C89"/>
    <mergeCell ref="B80:C80"/>
    <mergeCell ref="C79:E79"/>
    <mergeCell ref="B83:C83"/>
    <mergeCell ref="B84:C84"/>
    <mergeCell ref="B82:C82"/>
    <mergeCell ref="B67:C67"/>
    <mergeCell ref="J55:L55"/>
    <mergeCell ref="H45:L45"/>
    <mergeCell ref="B90:C90"/>
    <mergeCell ref="B56:C56"/>
    <mergeCell ref="B87:C87"/>
    <mergeCell ref="B77:C77"/>
    <mergeCell ref="B78:C78"/>
    <mergeCell ref="B72:C72"/>
    <mergeCell ref="B73:C73"/>
    <mergeCell ref="D4:J4"/>
    <mergeCell ref="D6:J6"/>
    <mergeCell ref="C49:E49"/>
    <mergeCell ref="J43:K43"/>
    <mergeCell ref="B35:C35"/>
    <mergeCell ref="B18:C18"/>
    <mergeCell ref="B36:C36"/>
    <mergeCell ref="B38:C38"/>
    <mergeCell ref="B39:C39"/>
    <mergeCell ref="B40:C40"/>
  </mergeCells>
  <dataValidations count="3">
    <dataValidation type="list" allowBlank="1" showInputMessage="1" showErrorMessage="1" sqref="I11">
      <formula1>"415,500"</formula1>
    </dataValidation>
    <dataValidation type="list" allowBlank="1" showInputMessage="1" showErrorMessage="1" sqref="I12">
      <formula1>"20,25,30,35,40"</formula1>
    </dataValidation>
    <dataValidation type="list" allowBlank="1" showInputMessage="1" showErrorMessage="1" sqref="F72">
      <formula1>"2,4,6"</formula1>
    </dataValidation>
  </dataValidations>
  <printOptions/>
  <pageMargins left="0.75" right="0.34" top="1" bottom="1" header="0.5" footer="0.5"/>
  <pageSetup horizontalDpi="600" verticalDpi="600" orientation="portrait" paperSize="8" scale="85" r:id="rId2"/>
  <colBreaks count="1" manualBreakCount="1">
    <brk id="16" min="1" max="8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A89"/>
  <sheetViews>
    <sheetView tabSelected="1" zoomScalePageLayoutView="0" workbookViewId="0" topLeftCell="A2">
      <selection activeCell="P34" sqref="P34"/>
    </sheetView>
  </sheetViews>
  <sheetFormatPr defaultColWidth="9.140625" defaultRowHeight="12.75"/>
  <cols>
    <col min="3" max="3" width="22.7109375" style="0" customWidth="1"/>
    <col min="4" max="4" width="12.00390625" style="0" customWidth="1"/>
    <col min="7" max="7" width="10.7109375" style="0" customWidth="1"/>
    <col min="10" max="10" width="10.140625" style="0" bestFit="1" customWidth="1"/>
    <col min="14" max="14" width="9.57421875" style="0" customWidth="1"/>
  </cols>
  <sheetData>
    <row r="2" spans="2:14" ht="18" customHeight="1">
      <c r="B2" s="150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2:14" ht="12.75"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2:27" ht="15.75">
      <c r="B4" s="10" t="s">
        <v>1</v>
      </c>
      <c r="C4" s="11"/>
      <c r="D4" s="166" t="s">
        <v>129</v>
      </c>
      <c r="E4" s="167"/>
      <c r="F4" s="167"/>
      <c r="G4" s="167"/>
      <c r="H4" s="167"/>
      <c r="I4" s="167"/>
      <c r="J4" s="168"/>
      <c r="K4" s="13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2:27" ht="12.75">
      <c r="B5" s="148" t="s">
        <v>66</v>
      </c>
      <c r="C5" s="149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</row>
    <row r="6" spans="2:27" ht="12.75">
      <c r="B6" s="148" t="s">
        <v>26</v>
      </c>
      <c r="C6" s="149"/>
      <c r="D6" s="185"/>
      <c r="E6" s="170"/>
      <c r="F6" s="170"/>
      <c r="G6" s="170"/>
      <c r="H6" s="170"/>
      <c r="I6" s="170"/>
      <c r="J6" s="171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2:27" ht="12.75">
      <c r="B7" s="66" t="s">
        <v>71</v>
      </c>
      <c r="C7" s="66"/>
      <c r="D7" s="70" t="s">
        <v>110</v>
      </c>
      <c r="E7" s="67"/>
      <c r="F7" s="67"/>
      <c r="G7" s="67"/>
      <c r="H7" s="67"/>
      <c r="I7" s="67"/>
      <c r="J7" s="67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</row>
    <row r="8" spans="2:27" ht="12.75">
      <c r="B8" s="66"/>
      <c r="C8" s="66"/>
      <c r="D8" s="69" t="s">
        <v>64</v>
      </c>
      <c r="E8" s="69" t="s">
        <v>65</v>
      </c>
      <c r="F8" s="67"/>
      <c r="G8" s="67"/>
      <c r="H8" s="67"/>
      <c r="I8" s="67"/>
      <c r="J8" s="67"/>
      <c r="K8" s="68"/>
      <c r="L8" s="155" t="s">
        <v>92</v>
      </c>
      <c r="M8" s="155"/>
      <c r="N8" s="155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</row>
    <row r="9" spans="2:5" ht="12.75">
      <c r="B9" s="187" t="s">
        <v>70</v>
      </c>
      <c r="C9" s="187"/>
      <c r="D9" s="8" t="s">
        <v>90</v>
      </c>
      <c r="E9" s="8" t="s">
        <v>90</v>
      </c>
    </row>
    <row r="10" spans="2:15" ht="12.75">
      <c r="B10" s="132" t="s">
        <v>2</v>
      </c>
      <c r="C10" s="132"/>
      <c r="D10" s="9" t="s">
        <v>3</v>
      </c>
      <c r="E10" s="9" t="s">
        <v>4</v>
      </c>
      <c r="H10" s="47" t="s">
        <v>48</v>
      </c>
      <c r="I10" s="48">
        <v>500</v>
      </c>
      <c r="L10" s="155" t="s">
        <v>81</v>
      </c>
      <c r="M10" s="155"/>
      <c r="N10" s="82">
        <f>E11*J38/(D11+E11)</f>
        <v>3.025</v>
      </c>
      <c r="O10" s="102" t="s">
        <v>82</v>
      </c>
    </row>
    <row r="11" spans="2:15" ht="15">
      <c r="B11" s="142"/>
      <c r="C11" s="142"/>
      <c r="D11" s="71">
        <v>220</v>
      </c>
      <c r="E11" s="71">
        <v>220</v>
      </c>
      <c r="H11" s="49" t="s">
        <v>49</v>
      </c>
      <c r="I11" s="50">
        <v>35</v>
      </c>
      <c r="N11" s="99">
        <f>N10*304.8</f>
        <v>922.02</v>
      </c>
      <c r="O11" s="97" t="s">
        <v>54</v>
      </c>
    </row>
    <row r="12" spans="2:4" ht="12.75">
      <c r="B12" s="132" t="s">
        <v>8</v>
      </c>
      <c r="C12" s="132"/>
      <c r="D12" s="4">
        <f>D11+E11</f>
        <v>440</v>
      </c>
    </row>
    <row r="13" spans="2:4" ht="13.5" thickBot="1">
      <c r="B13" s="132" t="s">
        <v>5</v>
      </c>
      <c r="C13" s="132"/>
      <c r="D13" s="4">
        <v>5</v>
      </c>
    </row>
    <row r="14" spans="2:16" ht="15">
      <c r="B14" s="154" t="s">
        <v>6</v>
      </c>
      <c r="C14" s="154"/>
      <c r="D14" s="64">
        <f>D12*1.1/(D13)</f>
        <v>96.80000000000001</v>
      </c>
      <c r="H14" s="47" t="s">
        <v>17</v>
      </c>
      <c r="I14" s="72">
        <v>8.52</v>
      </c>
      <c r="J14" s="99">
        <f>I14*0.3048</f>
        <v>2.596896</v>
      </c>
      <c r="K14" s="97" t="s">
        <v>93</v>
      </c>
      <c r="M14" s="182" t="s">
        <v>103</v>
      </c>
      <c r="N14" s="183"/>
      <c r="O14" s="110" t="s">
        <v>104</v>
      </c>
      <c r="P14" s="111"/>
    </row>
    <row r="15" spans="2:16" ht="15">
      <c r="B15" s="131" t="s">
        <v>7</v>
      </c>
      <c r="C15" s="131"/>
      <c r="D15" s="3">
        <f>I15*I14</f>
        <v>111.78239999999998</v>
      </c>
      <c r="E15" s="130" t="str">
        <f>IF(D15&gt;D14,"O.K","PLEASE CHECK")</f>
        <v>O.K</v>
      </c>
      <c r="F15" s="130"/>
      <c r="H15" s="49" t="s">
        <v>18</v>
      </c>
      <c r="I15" s="73">
        <v>13.12</v>
      </c>
      <c r="J15" s="99">
        <f>I15*0.3048</f>
        <v>3.998976</v>
      </c>
      <c r="K15" s="97" t="s">
        <v>93</v>
      </c>
      <c r="M15" s="184" t="s">
        <v>109</v>
      </c>
      <c r="N15" s="128"/>
      <c r="O15" s="114">
        <v>0.8</v>
      </c>
      <c r="P15" s="112" t="s">
        <v>108</v>
      </c>
    </row>
    <row r="16" spans="2:16" ht="12.75">
      <c r="B16" s="132" t="s">
        <v>86</v>
      </c>
      <c r="C16" s="132"/>
      <c r="D16" s="6">
        <f>D12*2204/D15</f>
        <v>8675.426542997826</v>
      </c>
      <c r="F16" s="82">
        <f>D12/D15</f>
        <v>3.936218939654186</v>
      </c>
      <c r="G16" s="46" t="s">
        <v>87</v>
      </c>
      <c r="M16" s="184" t="s">
        <v>105</v>
      </c>
      <c r="N16" s="128"/>
      <c r="O16" s="114">
        <v>0.98</v>
      </c>
      <c r="P16" s="112" t="s">
        <v>108</v>
      </c>
    </row>
    <row r="17" spans="2:16" ht="12.75">
      <c r="B17" s="142"/>
      <c r="C17" s="142"/>
      <c r="F17" s="81" t="str">
        <f>IF(F16&lt;D13,"SAFE")</f>
        <v>SAFE</v>
      </c>
      <c r="G17" s="46" t="s">
        <v>88</v>
      </c>
      <c r="M17" s="184" t="s">
        <v>106</v>
      </c>
      <c r="N17" s="128"/>
      <c r="O17" s="114">
        <v>1.15</v>
      </c>
      <c r="P17" s="112" t="s">
        <v>108</v>
      </c>
    </row>
    <row r="18" spans="2:16" ht="16.5" thickBot="1">
      <c r="B18" s="152" t="s">
        <v>9</v>
      </c>
      <c r="C18" s="152"/>
      <c r="D18" s="152"/>
      <c r="E18" s="152"/>
      <c r="M18" s="180" t="s">
        <v>107</v>
      </c>
      <c r="N18" s="181"/>
      <c r="O18" s="115">
        <v>1.32</v>
      </c>
      <c r="P18" s="113" t="s">
        <v>108</v>
      </c>
    </row>
    <row r="19" spans="2:12" ht="12.75">
      <c r="B19" s="132" t="s">
        <v>10</v>
      </c>
      <c r="C19" s="132"/>
      <c r="D19" s="88">
        <f>G24</f>
        <v>2.76</v>
      </c>
      <c r="E19" s="92">
        <f>D19*0.3048</f>
        <v>0.841248</v>
      </c>
      <c r="F19" s="93" t="s">
        <v>93</v>
      </c>
      <c r="I19" s="40" t="s">
        <v>64</v>
      </c>
      <c r="L19" s="40" t="s">
        <v>65</v>
      </c>
    </row>
    <row r="20" spans="2:6" ht="12.75">
      <c r="B20" s="132" t="s">
        <v>11</v>
      </c>
      <c r="C20" s="132"/>
      <c r="D20" s="6">
        <f>D16*D19*D19*6</f>
        <v>396515.5754036414</v>
      </c>
      <c r="E20" s="94">
        <f>D20*0.000113</f>
        <v>44.806260020611475</v>
      </c>
      <c r="F20" s="93" t="s">
        <v>94</v>
      </c>
    </row>
    <row r="21" spans="2:6" ht="12.75">
      <c r="B21" s="132" t="s">
        <v>12</v>
      </c>
      <c r="C21" s="132"/>
      <c r="D21" s="7">
        <f>SQRT((D20)/(O18*145*12))</f>
        <v>13.139188279197748</v>
      </c>
      <c r="E21" s="95">
        <f>D21*25.4</f>
        <v>333.7353822916228</v>
      </c>
      <c r="F21" s="93" t="s">
        <v>54</v>
      </c>
    </row>
    <row r="22" spans="2:6" ht="13.5" thickBot="1">
      <c r="B22" s="142"/>
      <c r="C22" s="142"/>
      <c r="E22" s="93"/>
      <c r="F22" s="93"/>
    </row>
    <row r="23" spans="2:15" ht="12.75">
      <c r="B23" s="132" t="s">
        <v>13</v>
      </c>
      <c r="C23" s="132"/>
      <c r="D23" s="1">
        <v>18</v>
      </c>
      <c r="E23" s="93">
        <f>D23*25</f>
        <v>450</v>
      </c>
      <c r="F23" s="93" t="s">
        <v>54</v>
      </c>
      <c r="G23" s="38"/>
      <c r="H23" s="136"/>
      <c r="I23" s="133"/>
      <c r="J23" s="133"/>
      <c r="K23" s="133"/>
      <c r="L23" s="133"/>
      <c r="M23" s="137"/>
      <c r="N23" s="59"/>
      <c r="O23" s="42"/>
    </row>
    <row r="24" spans="2:13" ht="12.75">
      <c r="B24" s="132" t="s">
        <v>14</v>
      </c>
      <c r="C24" s="132"/>
      <c r="D24" s="5">
        <f>D23-2</f>
        <v>16</v>
      </c>
      <c r="E24" s="95">
        <f>E23-40</f>
        <v>410</v>
      </c>
      <c r="F24" s="93" t="s">
        <v>54</v>
      </c>
      <c r="G24" s="58">
        <f>(N29-G30)/2</f>
        <v>2.76</v>
      </c>
      <c r="H24" s="138"/>
      <c r="I24" s="134"/>
      <c r="J24" s="134"/>
      <c r="K24" s="134"/>
      <c r="L24" s="134"/>
      <c r="M24" s="139"/>
    </row>
    <row r="25" spans="2:13" ht="13.5" thickBot="1">
      <c r="B25" s="142"/>
      <c r="C25" s="142"/>
      <c r="E25" s="93"/>
      <c r="F25" s="93"/>
      <c r="G25" s="39"/>
      <c r="H25" s="140"/>
      <c r="I25" s="135"/>
      <c r="J25" s="135"/>
      <c r="K25" s="135"/>
      <c r="L25" s="135"/>
      <c r="M25" s="141"/>
    </row>
    <row r="26" spans="2:13" ht="13.5" thickBot="1">
      <c r="B26" s="132" t="s">
        <v>100</v>
      </c>
      <c r="C26" s="132"/>
      <c r="D26" s="22">
        <f>D20/(39885*0.91*D24)</f>
        <v>0.6827933457792138</v>
      </c>
      <c r="E26" s="94">
        <f>D26*645</f>
        <v>440.4017080275929</v>
      </c>
      <c r="F26" s="93" t="s">
        <v>33</v>
      </c>
      <c r="G26" s="33"/>
      <c r="H26" s="136"/>
      <c r="I26" s="133"/>
      <c r="J26" s="133"/>
      <c r="K26" s="133"/>
      <c r="L26" s="133"/>
      <c r="M26" s="137"/>
    </row>
    <row r="27" spans="2:13" ht="12.75">
      <c r="B27" s="142"/>
      <c r="C27" s="142"/>
      <c r="D27" s="18"/>
      <c r="E27" s="93"/>
      <c r="F27" s="93"/>
      <c r="G27" s="33"/>
      <c r="H27" s="138"/>
      <c r="I27" s="143"/>
      <c r="J27" s="138"/>
      <c r="K27" s="139"/>
      <c r="L27" s="143"/>
      <c r="M27" s="139"/>
    </row>
    <row r="28" spans="2:13" ht="12.75">
      <c r="B28" s="132" t="s">
        <v>83</v>
      </c>
      <c r="C28" s="132"/>
      <c r="D28" s="22">
        <f>12*0.17/(D26)</f>
        <v>2.987726832152885</v>
      </c>
      <c r="E28" s="95">
        <f>D28*25.4</f>
        <v>75.88826153668327</v>
      </c>
      <c r="F28" s="93" t="s">
        <v>54</v>
      </c>
      <c r="G28" s="33"/>
      <c r="H28" s="138"/>
      <c r="I28" s="144"/>
      <c r="J28" s="138"/>
      <c r="K28" s="139"/>
      <c r="L28" s="144"/>
      <c r="M28" s="139"/>
    </row>
    <row r="29" spans="2:16" ht="15.75">
      <c r="B29" s="132" t="s">
        <v>80</v>
      </c>
      <c r="C29" s="132"/>
      <c r="D29" s="22">
        <f>12*0.31/(D26)</f>
        <v>5.448207752749378</v>
      </c>
      <c r="E29" s="95">
        <f>D29*25.4</f>
        <v>138.3844769198342</v>
      </c>
      <c r="F29" s="93" t="s">
        <v>54</v>
      </c>
      <c r="G29" s="33"/>
      <c r="H29" s="138"/>
      <c r="I29" s="144"/>
      <c r="J29" s="138"/>
      <c r="K29" s="139"/>
      <c r="L29" s="144"/>
      <c r="M29" s="139"/>
      <c r="N29" s="65">
        <f>I14</f>
        <v>8.52</v>
      </c>
      <c r="O29" s="46"/>
      <c r="P29" s="40"/>
    </row>
    <row r="30" spans="2:13" ht="12.75">
      <c r="B30" s="130" t="s">
        <v>102</v>
      </c>
      <c r="C30" s="130"/>
      <c r="D30" s="130"/>
      <c r="E30" s="130"/>
      <c r="G30" s="58">
        <f>D35/12</f>
        <v>3</v>
      </c>
      <c r="H30" s="138"/>
      <c r="I30" s="144"/>
      <c r="J30" s="138"/>
      <c r="K30" s="139"/>
      <c r="L30" s="144"/>
      <c r="M30" s="139"/>
    </row>
    <row r="31" spans="2:13" ht="12.75">
      <c r="B31" s="142"/>
      <c r="C31" s="142"/>
      <c r="D31" s="142"/>
      <c r="G31" s="33"/>
      <c r="H31" s="138"/>
      <c r="I31" s="144"/>
      <c r="J31" s="138"/>
      <c r="K31" s="139"/>
      <c r="L31" s="144"/>
      <c r="M31" s="139"/>
    </row>
    <row r="32" spans="2:13" ht="16.5" thickBot="1">
      <c r="B32" s="152" t="s">
        <v>15</v>
      </c>
      <c r="C32" s="152"/>
      <c r="D32" s="152"/>
      <c r="G32" s="33"/>
      <c r="H32" s="138"/>
      <c r="I32" s="145"/>
      <c r="J32" s="138"/>
      <c r="K32" s="139"/>
      <c r="L32" s="145"/>
      <c r="M32" s="139"/>
    </row>
    <row r="33" spans="2:13" ht="13.5" thickBot="1">
      <c r="B33" s="132" t="s">
        <v>10</v>
      </c>
      <c r="C33" s="132"/>
      <c r="D33" s="4">
        <v>6.05</v>
      </c>
      <c r="E33" s="96">
        <f>D33*0.3048</f>
        <v>1.8440400000000001</v>
      </c>
      <c r="F33" s="97" t="s">
        <v>93</v>
      </c>
      <c r="G33" s="33"/>
      <c r="H33" s="140"/>
      <c r="I33" s="135"/>
      <c r="J33" s="135"/>
      <c r="K33" s="135"/>
      <c r="L33" s="135"/>
      <c r="M33" s="141"/>
    </row>
    <row r="34" spans="2:13" ht="12.75">
      <c r="B34" s="158"/>
      <c r="C34" s="158"/>
      <c r="D34" s="9" t="s">
        <v>24</v>
      </c>
      <c r="E34" s="9" t="s">
        <v>25</v>
      </c>
      <c r="G34" s="38"/>
      <c r="H34" s="133"/>
      <c r="I34" s="133"/>
      <c r="J34" s="133"/>
      <c r="K34" s="133"/>
      <c r="L34" s="133"/>
      <c r="M34" s="137"/>
    </row>
    <row r="35" spans="2:13" ht="12.75">
      <c r="B35" s="132" t="s">
        <v>23</v>
      </c>
      <c r="C35" s="132"/>
      <c r="D35" s="8">
        <v>36</v>
      </c>
      <c r="E35" s="1">
        <v>36</v>
      </c>
      <c r="F35" s="5" t="s">
        <v>42</v>
      </c>
      <c r="G35" s="58">
        <f>(N29-G30)/2</f>
        <v>2.76</v>
      </c>
      <c r="H35" s="142"/>
      <c r="I35" s="142"/>
      <c r="J35" s="142"/>
      <c r="K35" s="142"/>
      <c r="L35" s="142"/>
      <c r="M35" s="139"/>
    </row>
    <row r="36" spans="2:15" ht="13.5" thickBot="1">
      <c r="B36" s="158"/>
      <c r="C36" s="158"/>
      <c r="D36" s="103">
        <f>D35*25</f>
        <v>900</v>
      </c>
      <c r="E36" s="97">
        <f>E35*25</f>
        <v>900</v>
      </c>
      <c r="F36" s="97" t="s">
        <v>41</v>
      </c>
      <c r="G36" s="37"/>
      <c r="H36" s="135"/>
      <c r="I36" s="135"/>
      <c r="J36" s="135"/>
      <c r="K36" s="135"/>
      <c r="L36" s="135"/>
      <c r="M36" s="141"/>
      <c r="N36" s="78"/>
      <c r="O36" s="41"/>
    </row>
    <row r="37" spans="2:13" ht="12.75">
      <c r="B37" s="132" t="s">
        <v>16</v>
      </c>
      <c r="C37" s="132"/>
      <c r="H37" s="74"/>
      <c r="I37" s="34"/>
      <c r="L37" s="76"/>
      <c r="M37" s="77"/>
    </row>
    <row r="38" spans="2:13" ht="12.75">
      <c r="B38" s="132" t="s">
        <v>19</v>
      </c>
      <c r="C38" s="132"/>
      <c r="D38" s="45">
        <f>D16*(G24+G35)</f>
        <v>47888.354517347994</v>
      </c>
      <c r="E38" s="98">
        <f>D38*0.014594</f>
        <v>698.8826458261766</v>
      </c>
      <c r="F38" s="97" t="s">
        <v>98</v>
      </c>
      <c r="H38" s="83">
        <f>(J42/2)-N10</f>
        <v>3.5349999999999997</v>
      </c>
      <c r="I38" s="35"/>
      <c r="J38" s="155">
        <f>D33</f>
        <v>6.05</v>
      </c>
      <c r="K38" s="174"/>
      <c r="L38" s="75"/>
      <c r="M38" s="84">
        <f>(J42-H38-J38)</f>
        <v>3.5349999999999993</v>
      </c>
    </row>
    <row r="39" spans="2:6" ht="12.75">
      <c r="B39" s="132" t="s">
        <v>21</v>
      </c>
      <c r="C39" s="132"/>
      <c r="D39" s="6">
        <f>D38*D33*D33</f>
        <v>1752833.49622123</v>
      </c>
      <c r="E39" s="99">
        <f>D39*0.000113</f>
        <v>198.07018507299898</v>
      </c>
      <c r="F39" s="97" t="s">
        <v>94</v>
      </c>
    </row>
    <row r="40" spans="2:8" ht="12.75">
      <c r="B40" s="132" t="s">
        <v>20</v>
      </c>
      <c r="C40" s="132"/>
      <c r="G40" s="15"/>
      <c r="H40" s="15"/>
    </row>
    <row r="41" spans="2:13" ht="12.75">
      <c r="B41" s="132" t="s">
        <v>22</v>
      </c>
      <c r="C41" s="132"/>
      <c r="D41" s="23">
        <f>SQRT((D39/(O18*145*D35)))</f>
        <v>15.949538264278088</v>
      </c>
      <c r="E41" s="98">
        <f>D41*25.4</f>
        <v>405.11827191266343</v>
      </c>
      <c r="F41" s="97" t="s">
        <v>54</v>
      </c>
      <c r="H41" s="43"/>
      <c r="M41" s="44"/>
    </row>
    <row r="42" spans="2:11" ht="15.75">
      <c r="B42" s="142"/>
      <c r="C42" s="142"/>
      <c r="J42" s="179">
        <f>I15</f>
        <v>13.12</v>
      </c>
      <c r="K42" s="179"/>
    </row>
    <row r="43" spans="2:4" ht="15.75">
      <c r="B43" s="152" t="s">
        <v>27</v>
      </c>
      <c r="C43" s="152"/>
      <c r="D43" s="152"/>
    </row>
    <row r="44" spans="2:12" ht="12.75">
      <c r="B44" s="132" t="s">
        <v>28</v>
      </c>
      <c r="C44" s="132"/>
      <c r="D44" s="5">
        <f>D33</f>
        <v>6.05</v>
      </c>
      <c r="E44" s="99">
        <f>D44*0.3048</f>
        <v>1.8440400000000001</v>
      </c>
      <c r="F44" s="97" t="s">
        <v>93</v>
      </c>
      <c r="H44" s="130" t="s">
        <v>69</v>
      </c>
      <c r="I44" s="130"/>
      <c r="J44" s="130"/>
      <c r="K44" s="130"/>
      <c r="L44" s="130"/>
    </row>
    <row r="45" spans="2:11" ht="12.75">
      <c r="B45" s="132" t="s">
        <v>29</v>
      </c>
      <c r="C45" s="132"/>
      <c r="D45" s="6">
        <f>E35/12</f>
        <v>3</v>
      </c>
      <c r="E45" s="99">
        <f>D45*0.3048</f>
        <v>0.9144000000000001</v>
      </c>
      <c r="F45" s="97" t="s">
        <v>93</v>
      </c>
      <c r="I45" s="5" t="s">
        <v>78</v>
      </c>
      <c r="J45" s="6">
        <f>D16*(D19-(D24/2/12))</f>
        <v>18160.559563342114</v>
      </c>
      <c r="K45" t="s">
        <v>73</v>
      </c>
    </row>
    <row r="46" spans="2:10" ht="12.75">
      <c r="B46" s="132" t="s">
        <v>36</v>
      </c>
      <c r="C46" s="132"/>
      <c r="D46" s="5">
        <f>E35-2</f>
        <v>34</v>
      </c>
      <c r="E46" s="97">
        <f>E36-40</f>
        <v>860</v>
      </c>
      <c r="F46" s="97" t="s">
        <v>54</v>
      </c>
      <c r="I46" s="5"/>
      <c r="J46" s="5"/>
    </row>
    <row r="47" spans="2:11" ht="12.75">
      <c r="B47" s="132" t="s">
        <v>30</v>
      </c>
      <c r="C47" s="132"/>
      <c r="D47" s="86">
        <f>D44/D45</f>
        <v>2.0166666666666666</v>
      </c>
      <c r="E47" s="87" t="s">
        <v>77</v>
      </c>
      <c r="I47" s="5"/>
      <c r="J47" s="7">
        <f>J45*0.004448</f>
        <v>80.77816893774572</v>
      </c>
      <c r="K47" t="s">
        <v>74</v>
      </c>
    </row>
    <row r="48" spans="2:10" ht="15">
      <c r="B48" s="15"/>
      <c r="C48" s="186" t="str">
        <f>IF(D47&lt;2.5,"It is necessary to design it as a Deep Beam","It is not necessary to go for Deep Beam")</f>
        <v>It is necessary to design it as a Deep Beam</v>
      </c>
      <c r="D48" s="186"/>
      <c r="E48" s="186"/>
      <c r="F48" s="36"/>
      <c r="G48" s="36"/>
      <c r="I48" s="5"/>
      <c r="J48" s="5"/>
    </row>
    <row r="49" spans="2:11" ht="14.25">
      <c r="B49" s="156" t="s">
        <v>35</v>
      </c>
      <c r="C49" s="156"/>
      <c r="D49" s="17"/>
      <c r="E49" s="17"/>
      <c r="F49" s="17"/>
      <c r="G49" s="17"/>
      <c r="I49" s="5" t="s">
        <v>40</v>
      </c>
      <c r="J49" s="6">
        <f>J47*1.5/(D24*25.4)</f>
        <v>0.2981477692091993</v>
      </c>
      <c r="K49" t="s">
        <v>76</v>
      </c>
    </row>
    <row r="50" spans="2:11" ht="14.25">
      <c r="B50" s="19" t="s">
        <v>28</v>
      </c>
      <c r="C50" s="19"/>
      <c r="D50" s="17">
        <f>D33</f>
        <v>6.05</v>
      </c>
      <c r="E50" s="99">
        <f>D50*0.3048</f>
        <v>1.8440400000000001</v>
      </c>
      <c r="F50" s="97" t="s">
        <v>93</v>
      </c>
      <c r="G50" s="17" t="s">
        <v>79</v>
      </c>
      <c r="I50" s="5" t="s">
        <v>75</v>
      </c>
      <c r="J50" s="80">
        <f>0.25*SQRT(I11)</f>
        <v>1.479019945774904</v>
      </c>
      <c r="K50" t="s">
        <v>76</v>
      </c>
    </row>
    <row r="51" spans="2:7" ht="14.25">
      <c r="B51" s="19" t="s">
        <v>29</v>
      </c>
      <c r="C51" s="19"/>
      <c r="D51" s="57">
        <f>E35/12</f>
        <v>3</v>
      </c>
      <c r="E51" s="99">
        <f>D51*0.3048</f>
        <v>0.9144000000000001</v>
      </c>
      <c r="F51" s="97" t="s">
        <v>93</v>
      </c>
      <c r="G51" s="17"/>
    </row>
    <row r="52" spans="2:12" ht="12.75">
      <c r="B52" s="132" t="s">
        <v>31</v>
      </c>
      <c r="C52" s="132"/>
      <c r="D52" s="16">
        <f>0.2*(D50+1.5*D51)</f>
        <v>2.1100000000000003</v>
      </c>
      <c r="E52" s="100">
        <f>D52*304.8</f>
        <v>643.1280000000002</v>
      </c>
      <c r="F52" s="97" t="s">
        <v>54</v>
      </c>
      <c r="I52" s="79"/>
      <c r="J52" s="130" t="str">
        <f>IF(J50&gt;J49,"SHEAR CHECK O.K","PLEASE CHECK")</f>
        <v>SHEAR CHECK O.K</v>
      </c>
      <c r="K52" s="130"/>
      <c r="L52" s="130"/>
    </row>
    <row r="53" spans="2:10" ht="12.75">
      <c r="B53" s="132" t="s">
        <v>32</v>
      </c>
      <c r="C53" s="132"/>
      <c r="D53" s="6">
        <f>D39/(39885*D52*12)</f>
        <v>1.7356708358620585</v>
      </c>
      <c r="E53" s="100">
        <f>D53*645</f>
        <v>1119.5076891310277</v>
      </c>
      <c r="F53" s="97" t="s">
        <v>33</v>
      </c>
      <c r="I53" s="5"/>
      <c r="J53" s="5"/>
    </row>
    <row r="54" spans="2:12" ht="12.75">
      <c r="B54" s="142"/>
      <c r="C54" s="142"/>
      <c r="D54" s="21"/>
      <c r="E54" s="5"/>
      <c r="J54" s="165"/>
      <c r="K54" s="165"/>
      <c r="L54" s="165"/>
    </row>
    <row r="55" spans="2:3" ht="12.75">
      <c r="B55" s="142"/>
      <c r="C55" s="142"/>
    </row>
    <row r="56" spans="2:4" ht="12.75">
      <c r="B56" s="157" t="s">
        <v>34</v>
      </c>
      <c r="C56" s="157"/>
      <c r="D56" s="60"/>
    </row>
    <row r="57" spans="2:6" ht="12.75">
      <c r="B57" s="159" t="s">
        <v>32</v>
      </c>
      <c r="C57" s="159"/>
      <c r="D57" s="61">
        <f>D39/(33000*0.86*D46)</f>
        <v>1.8165583636169111</v>
      </c>
      <c r="E57" s="106">
        <f>D57*645</f>
        <v>1171.6801445329077</v>
      </c>
      <c r="F57" s="97" t="s">
        <v>33</v>
      </c>
    </row>
    <row r="58" spans="2:5" ht="12.75">
      <c r="B58" s="160"/>
      <c r="C58" s="160"/>
      <c r="D58" s="62"/>
      <c r="E58" s="5"/>
    </row>
    <row r="59" spans="2:11" ht="15.75">
      <c r="B59" s="152" t="s">
        <v>37</v>
      </c>
      <c r="C59" s="152"/>
      <c r="D59" s="152"/>
      <c r="H59" s="32"/>
      <c r="I59" s="32"/>
      <c r="J59" s="32"/>
      <c r="K59" s="32"/>
    </row>
    <row r="60" spans="2:11" ht="15">
      <c r="B60" s="132" t="s">
        <v>67</v>
      </c>
      <c r="C60" s="132"/>
      <c r="D60" s="7">
        <f>D38*D44/(2*2204)</f>
        <v>65.72698385434559</v>
      </c>
      <c r="E60" s="5" t="s">
        <v>68</v>
      </c>
      <c r="H60" s="51" t="s">
        <v>61</v>
      </c>
      <c r="I60" s="24"/>
      <c r="J60" s="52" t="s">
        <v>62</v>
      </c>
      <c r="K60" s="53" t="s">
        <v>63</v>
      </c>
    </row>
    <row r="61" spans="2:11" ht="15">
      <c r="B61" s="132" t="s">
        <v>38</v>
      </c>
      <c r="C61" s="132"/>
      <c r="D61" s="18">
        <f>D60*10</f>
        <v>657.2698385434559</v>
      </c>
      <c r="E61" s="5" t="s">
        <v>39</v>
      </c>
      <c r="H61" s="27" t="s">
        <v>49</v>
      </c>
      <c r="I61" s="26" t="s">
        <v>48</v>
      </c>
      <c r="J61" s="25"/>
      <c r="K61" s="28"/>
    </row>
    <row r="62" spans="2:11" ht="14.25">
      <c r="B62" s="142"/>
      <c r="C62" s="142"/>
      <c r="H62" s="29">
        <v>20</v>
      </c>
      <c r="I62" s="30">
        <v>415</v>
      </c>
      <c r="J62" s="30">
        <v>0.91</v>
      </c>
      <c r="K62" s="31">
        <v>2.8</v>
      </c>
    </row>
    <row r="63" spans="2:11" ht="14.25">
      <c r="B63" s="132" t="s">
        <v>40</v>
      </c>
      <c r="C63" s="132"/>
      <c r="D63" s="7">
        <f>D61*10^3*1.5/(D36*(E36-40))</f>
        <v>1.2737787568671626</v>
      </c>
      <c r="H63" s="29">
        <v>25</v>
      </c>
      <c r="I63" s="30">
        <v>415</v>
      </c>
      <c r="J63" s="30">
        <v>1.1</v>
      </c>
      <c r="K63" s="31">
        <v>3.1</v>
      </c>
    </row>
    <row r="64" spans="2:11" ht="14.25">
      <c r="B64" s="132" t="s">
        <v>84</v>
      </c>
      <c r="C64" s="132"/>
      <c r="H64" s="29">
        <v>30</v>
      </c>
      <c r="I64" s="30">
        <v>415</v>
      </c>
      <c r="J64" s="30">
        <v>1.31</v>
      </c>
      <c r="K64" s="31">
        <v>3.5</v>
      </c>
    </row>
    <row r="65" spans="2:11" ht="14.25">
      <c r="B65" s="132" t="s">
        <v>43</v>
      </c>
      <c r="C65" s="132"/>
      <c r="D65" s="20"/>
      <c r="H65" s="54">
        <v>35</v>
      </c>
      <c r="I65" s="55">
        <v>415</v>
      </c>
      <c r="J65" s="55">
        <v>1.5</v>
      </c>
      <c r="K65" s="56">
        <v>3.7</v>
      </c>
    </row>
    <row r="66" spans="2:11" ht="14.25">
      <c r="B66" s="164" t="s">
        <v>44</v>
      </c>
      <c r="C66" s="164"/>
      <c r="D66" s="6">
        <f>D77*100/(D36*(E36-40))</f>
        <v>0.1096847542107273</v>
      </c>
      <c r="E66" s="5" t="s">
        <v>46</v>
      </c>
      <c r="H66" s="24"/>
      <c r="I66" s="24"/>
      <c r="J66" s="24"/>
      <c r="K66" s="24"/>
    </row>
    <row r="67" spans="2:5" ht="12.75">
      <c r="B67" s="161" t="s">
        <v>45</v>
      </c>
      <c r="C67" s="161"/>
      <c r="D67" s="61">
        <f>E57*100/(D36*(E36-40))</f>
        <v>0.1513798636347426</v>
      </c>
      <c r="E67" s="5" t="s">
        <v>46</v>
      </c>
    </row>
    <row r="68" spans="2:3" ht="12.75">
      <c r="B68" s="142"/>
      <c r="C68" s="142"/>
    </row>
    <row r="69" spans="2:4" ht="12.75">
      <c r="B69" s="132" t="s">
        <v>47</v>
      </c>
      <c r="C69" s="132"/>
      <c r="D69" s="1">
        <v>0.34</v>
      </c>
    </row>
    <row r="70" spans="2:5" ht="12.75">
      <c r="B70" s="132" t="s">
        <v>85</v>
      </c>
      <c r="C70" s="132"/>
      <c r="D70" s="18">
        <f>(D63-D69)*D36*(E36-40)</f>
        <v>722744.7578151838</v>
      </c>
      <c r="E70" t="s">
        <v>99</v>
      </c>
    </row>
    <row r="71" spans="2:5" ht="12.75">
      <c r="B71" s="132" t="s">
        <v>50</v>
      </c>
      <c r="C71" s="132"/>
      <c r="D71" s="22">
        <f>0.87*I10*4*78.5*(E36-40)/(D70)</f>
        <v>162.52957732283974</v>
      </c>
      <c r="E71" t="s">
        <v>54</v>
      </c>
    </row>
    <row r="72" spans="2:5" ht="12.75">
      <c r="B72" s="132" t="s">
        <v>51</v>
      </c>
      <c r="C72" s="132"/>
      <c r="D72" s="22">
        <f>0.87*I10*4*113*(E36-40)/(D70)</f>
        <v>233.9597737258712</v>
      </c>
      <c r="E72" t="s">
        <v>54</v>
      </c>
    </row>
    <row r="73" spans="3:5" ht="12.75">
      <c r="C73" s="162" t="s">
        <v>111</v>
      </c>
      <c r="D73" s="162"/>
      <c r="E73" s="162"/>
    </row>
    <row r="74" spans="2:3" ht="12.75">
      <c r="B74" s="142"/>
      <c r="C74" s="142"/>
    </row>
    <row r="75" spans="2:3" ht="15.75">
      <c r="B75" s="152" t="s">
        <v>52</v>
      </c>
      <c r="C75" s="152"/>
    </row>
    <row r="76" spans="2:5" ht="12.75">
      <c r="B76" s="132" t="s">
        <v>53</v>
      </c>
      <c r="C76" s="132"/>
      <c r="D76" s="5">
        <f>0.2*E36</f>
        <v>180</v>
      </c>
      <c r="E76" s="5" t="s">
        <v>54</v>
      </c>
    </row>
    <row r="77" spans="2:5" ht="12.75">
      <c r="B77" s="132" t="s">
        <v>55</v>
      </c>
      <c r="C77" s="132"/>
      <c r="D77" s="22">
        <f>E53*0.5*(D47-0.5)</f>
        <v>848.9599975910294</v>
      </c>
      <c r="E77" s="5" t="s">
        <v>33</v>
      </c>
    </row>
    <row r="78" spans="2:5" ht="12.75">
      <c r="B78" s="2"/>
      <c r="C78" s="162" t="s">
        <v>112</v>
      </c>
      <c r="D78" s="162"/>
      <c r="E78" s="162"/>
    </row>
    <row r="79" spans="2:5" ht="12.75">
      <c r="B79" s="159" t="s">
        <v>56</v>
      </c>
      <c r="C79" s="159"/>
      <c r="D79" s="105">
        <f>E57*0.5*(D47-0.5)</f>
        <v>888.5241096041216</v>
      </c>
      <c r="E79" s="60"/>
    </row>
    <row r="80" spans="2:5" ht="12.75">
      <c r="B80" s="60"/>
      <c r="C80" s="163"/>
      <c r="D80" s="163"/>
      <c r="E80" s="163"/>
    </row>
    <row r="81" spans="2:3" ht="12.75">
      <c r="B81" s="158"/>
      <c r="C81" s="158"/>
    </row>
    <row r="82" spans="2:4" ht="15.75">
      <c r="B82" s="152" t="s">
        <v>57</v>
      </c>
      <c r="C82" s="152"/>
      <c r="D82" s="20"/>
    </row>
    <row r="83" spans="2:6" ht="12.75">
      <c r="B83" s="132" t="s">
        <v>10</v>
      </c>
      <c r="C83" s="132"/>
      <c r="D83" s="85">
        <f>H38</f>
        <v>3.5349999999999997</v>
      </c>
      <c r="E83" s="101">
        <f>D83*0.3048</f>
        <v>1.0774679999999999</v>
      </c>
      <c r="F83" s="97" t="s">
        <v>93</v>
      </c>
    </row>
    <row r="84" spans="2:6" ht="12.75">
      <c r="B84" s="132" t="s">
        <v>58</v>
      </c>
      <c r="C84" s="132"/>
      <c r="D84" s="18">
        <f>D38</f>
        <v>47888.354517347994</v>
      </c>
      <c r="E84" s="98">
        <f>D84*0.014594</f>
        <v>698.8826458261766</v>
      </c>
      <c r="F84" s="97" t="s">
        <v>98</v>
      </c>
    </row>
    <row r="85" spans="2:6" ht="12.75">
      <c r="B85" s="132" t="s">
        <v>60</v>
      </c>
      <c r="C85" s="132"/>
      <c r="D85" s="6">
        <f>D84*D83*D83*6</f>
        <v>3590541.9175712806</v>
      </c>
      <c r="E85" s="99">
        <f>D85*0.000113</f>
        <v>405.7312366855547</v>
      </c>
      <c r="F85" s="97" t="s">
        <v>94</v>
      </c>
    </row>
    <row r="86" spans="2:6" ht="12.75">
      <c r="B86" s="132" t="s">
        <v>59</v>
      </c>
      <c r="C86" s="132"/>
      <c r="D86" s="5"/>
      <c r="E86" s="97"/>
      <c r="F86" s="97"/>
    </row>
    <row r="87" spans="2:6" ht="12.75">
      <c r="B87" s="132" t="s">
        <v>22</v>
      </c>
      <c r="C87" s="132"/>
      <c r="D87" s="6">
        <f>SQRT((D85/(O18*145*E35)))</f>
        <v>22.827470147931592</v>
      </c>
      <c r="E87" s="98">
        <f>D87*25.4</f>
        <v>579.8177417574624</v>
      </c>
      <c r="F87" s="97" t="s">
        <v>54</v>
      </c>
    </row>
    <row r="88" spans="2:6" ht="12.75">
      <c r="B88" s="132" t="s">
        <v>32</v>
      </c>
      <c r="C88" s="132"/>
      <c r="D88" s="22">
        <f>D85/(39885*0.91*(E35-2))</f>
        <v>2.9095786112054065</v>
      </c>
      <c r="E88" s="98">
        <f>D88*645</f>
        <v>1876.6782042274872</v>
      </c>
      <c r="F88" s="97" t="s">
        <v>33</v>
      </c>
    </row>
    <row r="89" spans="2:5" ht="12.75">
      <c r="B89" s="158"/>
      <c r="C89" s="158"/>
      <c r="D89" s="21"/>
      <c r="E89" s="5"/>
    </row>
  </sheetData>
  <sheetProtection/>
  <mergeCells count="107">
    <mergeCell ref="M26:M33"/>
    <mergeCell ref="B21:C21"/>
    <mergeCell ref="B13:C13"/>
    <mergeCell ref="B14:C14"/>
    <mergeCell ref="J52:L52"/>
    <mergeCell ref="H23:M25"/>
    <mergeCell ref="H34:M36"/>
    <mergeCell ref="I27:I32"/>
    <mergeCell ref="L27:L32"/>
    <mergeCell ref="I26:L26"/>
    <mergeCell ref="H26:H33"/>
    <mergeCell ref="E15:F15"/>
    <mergeCell ref="B5:C5"/>
    <mergeCell ref="B2:N3"/>
    <mergeCell ref="B18:E18"/>
    <mergeCell ref="B19:C19"/>
    <mergeCell ref="B20:C20"/>
    <mergeCell ref="B46:C46"/>
    <mergeCell ref="B33:C33"/>
    <mergeCell ref="B23:C23"/>
    <mergeCell ref="B24:C24"/>
    <mergeCell ref="B26:C26"/>
    <mergeCell ref="B28:C28"/>
    <mergeCell ref="B27:C27"/>
    <mergeCell ref="B25:C25"/>
    <mergeCell ref="B31:D31"/>
    <mergeCell ref="B29:C29"/>
    <mergeCell ref="B60:C60"/>
    <mergeCell ref="B61:C61"/>
    <mergeCell ref="B56:C56"/>
    <mergeCell ref="B59:D59"/>
    <mergeCell ref="B52:C52"/>
    <mergeCell ref="B54:C54"/>
    <mergeCell ref="B53:C53"/>
    <mergeCell ref="B30:E30"/>
    <mergeCell ref="B43:D43"/>
    <mergeCell ref="B44:C44"/>
    <mergeCell ref="B45:C45"/>
    <mergeCell ref="B35:C35"/>
    <mergeCell ref="B37:C37"/>
    <mergeCell ref="B38:C38"/>
    <mergeCell ref="B39:C39"/>
    <mergeCell ref="B32:D32"/>
    <mergeCell ref="B15:C15"/>
    <mergeCell ref="B16:C16"/>
    <mergeCell ref="D5:AA5"/>
    <mergeCell ref="B10:C10"/>
    <mergeCell ref="B12:C12"/>
    <mergeCell ref="B6:C6"/>
    <mergeCell ref="B9:C9"/>
    <mergeCell ref="B11:C11"/>
    <mergeCell ref="L8:N8"/>
    <mergeCell ref="L10:M10"/>
    <mergeCell ref="B36:C36"/>
    <mergeCell ref="B65:C65"/>
    <mergeCell ref="B42:C42"/>
    <mergeCell ref="B57:C57"/>
    <mergeCell ref="B58:C58"/>
    <mergeCell ref="B62:C62"/>
    <mergeCell ref="B40:C40"/>
    <mergeCell ref="B41:C41"/>
    <mergeCell ref="B47:C47"/>
    <mergeCell ref="B49:C49"/>
    <mergeCell ref="B85:C85"/>
    <mergeCell ref="B67:C67"/>
    <mergeCell ref="B69:C69"/>
    <mergeCell ref="B70:C70"/>
    <mergeCell ref="B68:C68"/>
    <mergeCell ref="B63:C63"/>
    <mergeCell ref="B64:C64"/>
    <mergeCell ref="B66:C66"/>
    <mergeCell ref="B87:C87"/>
    <mergeCell ref="B88:C88"/>
    <mergeCell ref="B79:C79"/>
    <mergeCell ref="C78:E78"/>
    <mergeCell ref="B82:C82"/>
    <mergeCell ref="B83:C83"/>
    <mergeCell ref="B81:C81"/>
    <mergeCell ref="C80:E80"/>
    <mergeCell ref="B84:C84"/>
    <mergeCell ref="B76:C76"/>
    <mergeCell ref="B77:C77"/>
    <mergeCell ref="B71:C71"/>
    <mergeCell ref="B72:C72"/>
    <mergeCell ref="C73:E73"/>
    <mergeCell ref="B75:C75"/>
    <mergeCell ref="B74:C74"/>
    <mergeCell ref="B89:C89"/>
    <mergeCell ref="D4:J4"/>
    <mergeCell ref="D6:J6"/>
    <mergeCell ref="C48:E48"/>
    <mergeCell ref="J42:K42"/>
    <mergeCell ref="B34:C34"/>
    <mergeCell ref="B55:C55"/>
    <mergeCell ref="B17:C17"/>
    <mergeCell ref="B22:C22"/>
    <mergeCell ref="B86:C86"/>
    <mergeCell ref="M18:N18"/>
    <mergeCell ref="M14:N14"/>
    <mergeCell ref="M15:N15"/>
    <mergeCell ref="M16:N16"/>
    <mergeCell ref="M17:N17"/>
    <mergeCell ref="J54:L54"/>
    <mergeCell ref="H44:L44"/>
    <mergeCell ref="J38:K38"/>
    <mergeCell ref="J27:K32"/>
    <mergeCell ref="I33:L33"/>
  </mergeCells>
  <dataValidations count="2">
    <dataValidation type="list" allowBlank="1" showInputMessage="1" showErrorMessage="1" sqref="I10">
      <formula1>"415,500"</formula1>
    </dataValidation>
    <dataValidation type="list" allowBlank="1" showInputMessage="1" showErrorMessage="1" sqref="I11">
      <formula1>"20,25,30,35,40"</formula1>
    </dataValidation>
  </dataValidations>
  <printOptions/>
  <pageMargins left="0.75" right="0.75" top="1" bottom="1" header="0.5" footer="0.5"/>
  <pageSetup horizontalDpi="600" verticalDpi="600" orientation="landscape" paperSize="9" scale="64" r:id="rId2"/>
  <rowBreaks count="1" manualBreakCount="1">
    <brk id="48" min="1" max="26" man="1"/>
  </rowBreaks>
  <colBreaks count="2" manualBreakCount="2">
    <brk id="14" min="1" max="87" man="1"/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S05</dc:creator>
  <cp:keywords/>
  <dc:description/>
  <cp:lastModifiedBy>Thomas Britto</cp:lastModifiedBy>
  <cp:lastPrinted>2011-03-15T03:23:54Z</cp:lastPrinted>
  <dcterms:created xsi:type="dcterms:W3CDTF">2009-09-29T12:24:42Z</dcterms:created>
  <dcterms:modified xsi:type="dcterms:W3CDTF">2016-10-17T05:05:48Z</dcterms:modified>
  <cp:category/>
  <cp:version/>
  <cp:contentType/>
  <cp:contentStatus/>
</cp:coreProperties>
</file>