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5" activeTab="4"/>
  </bookViews>
  <sheets>
    <sheet name="Theory" sheetId="1" r:id="rId1"/>
    <sheet name="Data sheet" sheetId="2" r:id="rId2"/>
    <sheet name="Design " sheetId="3" r:id="rId3"/>
    <sheet name="Drawing " sheetId="4" r:id="rId4"/>
    <sheet name="IS-Table" sheetId="5" r:id="rId5"/>
    <sheet name="degree" sheetId="6" r:id="rId6"/>
  </sheets>
  <definedNames>
    <definedName name="_xlnm.Print_Area" localSheetId="1">'Data sheet'!$B$2:$AD$35</definedName>
    <definedName name="_xlnm.Print_Area" localSheetId="2">'Design '!$A$3:$S$314</definedName>
    <definedName name="_xlnm.Print_Area" localSheetId="4">'IS-Table'!$A$3:$T$49</definedName>
  </definedNames>
  <calcPr fullCalcOnLoad="1"/>
</workbook>
</file>

<file path=xl/comments2.xml><?xml version="1.0" encoding="utf-8"?>
<comments xmlns="http://schemas.openxmlformats.org/spreadsheetml/2006/main">
  <authors>
    <author>Bhaskar Computronic's</author>
  </authors>
  <commentList>
    <comment ref="G39" authorId="0">
      <text>
        <r>
          <rPr>
            <sz val="10"/>
            <rFont val="Tahoma"/>
            <family val="2"/>
          </rPr>
          <t xml:space="preserve">Put value for h in this cell Till 
the value of blue cell =Zero, or near zero
</t>
        </r>
      </text>
    </comment>
    <comment ref="G37" authorId="0">
      <text>
        <r>
          <rPr>
            <sz val="10"/>
            <rFont val="Tahoma"/>
            <family val="2"/>
          </rPr>
          <t xml:space="preserve">Put value for h in this cell Till 
the value of blue cell = Zero, or near zero
</t>
        </r>
      </text>
    </comment>
  </commentList>
</comments>
</file>

<file path=xl/sharedStrings.xml><?xml version="1.0" encoding="utf-8"?>
<sst xmlns="http://schemas.openxmlformats.org/spreadsheetml/2006/main" count="1683" uniqueCount="614">
  <si>
    <t>RETAINING WALL</t>
  </si>
  <si>
    <r>
      <t xml:space="preserve">               In the design of retaining walls or other retaining structures, it is necessary to compute the lateral earth pressure exerted bythe retaining mass of soil. The equation of finding out the lateral earth pressure against retaining wall is one of the oldest in Civil Engineering field. The </t>
    </r>
    <r>
      <rPr>
        <i/>
        <sz val="10"/>
        <rFont val="Arial"/>
        <family val="2"/>
      </rPr>
      <t>plastic state of strees,</t>
    </r>
    <r>
      <rPr>
        <sz val="10"/>
        <rFont val="Arial"/>
        <family val="0"/>
      </rPr>
      <t xml:space="preserve"> when the failure is imminent, was invetigated  by Rankine in1860. A Lot of theoretical experiment  work has been done in this field and many theory and hypothesis heve benn proposed. </t>
    </r>
  </si>
  <si>
    <r>
      <t xml:space="preserve">               A retaining wall or retaining structure is used for maintaining the ground surfgaces at defrent elevations on either side of it. Whenever embankments are involed in construction ,retaining wall are usually necessary. In the construction of buildins having basements, retaining walls are mandatory. Similsrly in bridge work, the wing walls and abutments etc. are designed as retaining walls , to resist earth pressure along with superimposed loads. The material retained or supported by a retaining wall is called </t>
    </r>
    <r>
      <rPr>
        <i/>
        <sz val="10"/>
        <rFont val="Arial"/>
        <family val="2"/>
      </rPr>
      <t>backfill</t>
    </r>
    <r>
      <rPr>
        <sz val="10"/>
        <rFont val="Arial"/>
        <family val="0"/>
      </rPr>
      <t xml:space="preserve"> lying above the horizontal plane at the elevation of the top of a wall is called the </t>
    </r>
    <r>
      <rPr>
        <i/>
        <sz val="10"/>
        <rFont val="Arial"/>
        <family val="2"/>
      </rPr>
      <t>surcharge</t>
    </r>
    <r>
      <rPr>
        <sz val="10"/>
        <rFont val="Arial"/>
        <family val="0"/>
      </rPr>
      <t>, and its inclination to horizontal is called the</t>
    </r>
    <r>
      <rPr>
        <i/>
        <sz val="10"/>
        <rFont val="Arial"/>
        <family val="0"/>
      </rPr>
      <t xml:space="preserve"> surcharge angle </t>
    </r>
    <r>
      <rPr>
        <sz val="10"/>
        <rFont val="Symbol"/>
        <family val="1"/>
      </rPr>
      <t>b</t>
    </r>
  </si>
  <si>
    <t xml:space="preserve">RCC design B.C.Punmia </t>
  </si>
  <si>
    <t>18.2  TYPE OF RETAINING WALLS</t>
  </si>
  <si>
    <t xml:space="preserve">              Retaining walls may be classified according to their mode of resisting the earth pressure,and according to their shape. Following are some of commen types of retaining walls  (Fig) </t>
  </si>
  <si>
    <t>Gravity walls</t>
  </si>
  <si>
    <t>Cantilever retaining walls</t>
  </si>
  <si>
    <t xml:space="preserve">a.  T- shaped  </t>
  </si>
  <si>
    <t>b.  L- shaped</t>
  </si>
  <si>
    <t>Counterfort retainig walls.</t>
  </si>
  <si>
    <t>Buttresssed walls.</t>
  </si>
  <si>
    <t xml:space="preserve">               A gravity retaining wall shown in fig 1 is the one in which the earth pressure exrted  by the back fill is resisted by dead weight of wall, which is either made of masonry or of mass concrete . The stress devlop in the wall is very low ,These walls are no proportioned that no tension is devloped any where, and the resultant of forces remain withen the middle third of the base.</t>
  </si>
  <si>
    <t xml:space="preserve">The cantilever retaining wall resist the horizontal earth pressure as well as other vertical pressure by way of beending of varios components acting as cantilever s.A coomon form of cantilever retaining waal </t>
  </si>
  <si>
    <t>b =</t>
  </si>
  <si>
    <t>m</t>
  </si>
  <si>
    <t>Toe</t>
  </si>
  <si>
    <t>D</t>
  </si>
  <si>
    <t>C</t>
  </si>
  <si>
    <t>E</t>
  </si>
  <si>
    <t>B</t>
  </si>
  <si>
    <t>A</t>
  </si>
  <si>
    <r>
      <t>H</t>
    </r>
    <r>
      <rPr>
        <vertAlign val="subscript"/>
        <sz val="10"/>
        <rFont val="Arial"/>
        <family val="2"/>
      </rPr>
      <t>1</t>
    </r>
    <r>
      <rPr>
        <sz val="10"/>
        <rFont val="Arial"/>
        <family val="0"/>
      </rPr>
      <t>=</t>
    </r>
  </si>
  <si>
    <t>H=</t>
  </si>
  <si>
    <t>W1</t>
  </si>
  <si>
    <t>W2</t>
  </si>
  <si>
    <t>mm</t>
  </si>
  <si>
    <t>M</t>
  </si>
  <si>
    <t>=</t>
  </si>
  <si>
    <t>Design Constants:-</t>
  </si>
  <si>
    <t xml:space="preserve">For HYSD Bars </t>
  </si>
  <si>
    <t>Cocrete M</t>
  </si>
  <si>
    <r>
      <t>N/mm</t>
    </r>
    <r>
      <rPr>
        <vertAlign val="superscript"/>
        <sz val="10"/>
        <rFont val="Arial"/>
        <family val="2"/>
      </rPr>
      <t>2</t>
    </r>
  </si>
  <si>
    <t xml:space="preserve">wt. of concrete </t>
  </si>
  <si>
    <r>
      <t>N/mm</t>
    </r>
    <r>
      <rPr>
        <vertAlign val="superscript"/>
        <sz val="10"/>
        <rFont val="Arial"/>
        <family val="2"/>
      </rPr>
      <t>3</t>
    </r>
  </si>
  <si>
    <r>
      <t>k</t>
    </r>
    <r>
      <rPr>
        <sz val="10"/>
        <rFont val="Arial"/>
        <family val="0"/>
      </rPr>
      <t>=</t>
    </r>
  </si>
  <si>
    <t>m*c</t>
  </si>
  <si>
    <t>x</t>
  </si>
  <si>
    <r>
      <t>m*c+</t>
    </r>
    <r>
      <rPr>
        <sz val="12"/>
        <rFont val="Symbol"/>
        <family val="1"/>
      </rPr>
      <t>s</t>
    </r>
    <r>
      <rPr>
        <sz val="12"/>
        <rFont val="Arial"/>
        <family val="2"/>
      </rPr>
      <t>st</t>
    </r>
  </si>
  <si>
    <t>+</t>
  </si>
  <si>
    <r>
      <t>j</t>
    </r>
    <r>
      <rPr>
        <sz val="10"/>
        <rFont val="Arial"/>
        <family val="0"/>
      </rPr>
      <t>=1-k/3</t>
    </r>
  </si>
  <si>
    <t>-</t>
  </si>
  <si>
    <t>/</t>
  </si>
  <si>
    <r>
      <t>R</t>
    </r>
    <r>
      <rPr>
        <sz val="10"/>
        <rFont val="Arial"/>
        <family val="0"/>
      </rPr>
      <t>=1/2xc x j x k</t>
    </r>
  </si>
  <si>
    <t>say</t>
  </si>
  <si>
    <t>x(</t>
  </si>
  <si>
    <t>Effective depth required =</t>
  </si>
  <si>
    <t xml:space="preserve">Assuming that </t>
  </si>
  <si>
    <t>Ast  =</t>
  </si>
  <si>
    <r>
      <t xml:space="preserve">10 </t>
    </r>
    <r>
      <rPr>
        <vertAlign val="superscript"/>
        <sz val="10"/>
        <rFont val="Arial"/>
        <family val="2"/>
      </rPr>
      <t>6</t>
    </r>
  </si>
  <si>
    <r>
      <t>mm</t>
    </r>
    <r>
      <rPr>
        <vertAlign val="superscript"/>
        <sz val="10"/>
        <rFont val="Arial"/>
        <family val="2"/>
      </rPr>
      <t>2</t>
    </r>
  </si>
  <si>
    <t xml:space="preserve">using </t>
  </si>
  <si>
    <t xml:space="preserve">mm bars </t>
  </si>
  <si>
    <r>
      <t>3.14xdia</t>
    </r>
    <r>
      <rPr>
        <vertAlign val="superscript"/>
        <sz val="10"/>
        <rFont val="Arial"/>
        <family val="2"/>
      </rPr>
      <t>2</t>
    </r>
  </si>
  <si>
    <r>
      <t>mm</t>
    </r>
    <r>
      <rPr>
        <vertAlign val="superscript"/>
        <sz val="8"/>
        <rFont val="Arial"/>
        <family val="2"/>
      </rPr>
      <t>2</t>
    </r>
  </si>
  <si>
    <t xml:space="preserve">Hence Provided </t>
  </si>
  <si>
    <t>\</t>
  </si>
  <si>
    <t>or</t>
  </si>
  <si>
    <t>a</t>
  </si>
  <si>
    <t>d</t>
  </si>
  <si>
    <t>%</t>
  </si>
  <si>
    <t>bd</t>
  </si>
  <si>
    <t>b</t>
  </si>
  <si>
    <t xml:space="preserve">Using </t>
  </si>
  <si>
    <t>x (</t>
  </si>
  <si>
    <t>DESIGN OF  T  SHAPED CANTILEVER RETAINING WALL</t>
  </si>
  <si>
    <t>Hieght of cantilever wall from ground level</t>
  </si>
  <si>
    <t xml:space="preserve">Unit weight of Earth </t>
  </si>
  <si>
    <t>Angle of repose</t>
  </si>
  <si>
    <t>Safe Bearing capacity of soil</t>
  </si>
  <si>
    <t xml:space="preserve">Coffiecent of friction </t>
  </si>
  <si>
    <t xml:space="preserve">Concrete </t>
  </si>
  <si>
    <t>Steel</t>
  </si>
  <si>
    <t>M-</t>
  </si>
  <si>
    <t>Degree</t>
  </si>
  <si>
    <r>
      <t>N/m</t>
    </r>
    <r>
      <rPr>
        <vertAlign val="superscript"/>
        <sz val="10"/>
        <rFont val="Arial"/>
        <family val="2"/>
      </rPr>
      <t>2</t>
    </r>
  </si>
  <si>
    <t>a b c d e f g h I j k l m n o p q r s t u v w x y z</t>
  </si>
  <si>
    <t>A B C D E F G H I J K L M N O P Q R S T U V W X Y Z</t>
  </si>
  <si>
    <t>g</t>
  </si>
  <si>
    <r>
      <t>q</t>
    </r>
    <r>
      <rPr>
        <vertAlign val="subscript"/>
        <sz val="10"/>
        <rFont val="Arial"/>
        <family val="2"/>
      </rPr>
      <t>0</t>
    </r>
  </si>
  <si>
    <t xml:space="preserve">Degree </t>
  </si>
  <si>
    <t>Diamension of base:-</t>
  </si>
  <si>
    <t>Eq (1)</t>
  </si>
  <si>
    <t>Ö</t>
  </si>
  <si>
    <t>)x(</t>
  </si>
  <si>
    <t>(</t>
  </si>
  <si>
    <t>)</t>
  </si>
  <si>
    <t>The base width from the considration of sliding is given by Eq.</t>
  </si>
  <si>
    <t>0.7HKa</t>
  </si>
  <si>
    <r>
      <t>(1-</t>
    </r>
    <r>
      <rPr>
        <sz val="10"/>
        <rFont val="Symbol"/>
        <family val="1"/>
      </rPr>
      <t>a</t>
    </r>
    <r>
      <rPr>
        <sz val="10"/>
        <rFont val="Arial"/>
        <family val="0"/>
      </rPr>
      <t xml:space="preserve">) </t>
    </r>
    <r>
      <rPr>
        <sz val="10"/>
        <rFont val="Symbol"/>
        <family val="1"/>
      </rPr>
      <t>m</t>
    </r>
  </si>
  <si>
    <t>)x</t>
  </si>
  <si>
    <t>Taking maximum value of H =</t>
  </si>
  <si>
    <r>
      <t xml:space="preserve">This width  is excessive. Normal practice is to provide b between </t>
    </r>
    <r>
      <rPr>
        <sz val="10"/>
        <color indexed="10"/>
        <rFont val="Arial"/>
        <family val="2"/>
      </rPr>
      <t xml:space="preserve">0.4 </t>
    </r>
    <r>
      <rPr>
        <sz val="10"/>
        <rFont val="Arial"/>
        <family val="0"/>
      </rPr>
      <t xml:space="preserve">to </t>
    </r>
    <r>
      <rPr>
        <sz val="10"/>
        <color indexed="10"/>
        <rFont val="Arial"/>
        <family val="2"/>
      </rPr>
      <t xml:space="preserve">0.6 </t>
    </r>
    <r>
      <rPr>
        <sz val="10"/>
        <rFont val="Arial"/>
        <family val="0"/>
      </rPr>
      <t>H .</t>
    </r>
  </si>
  <si>
    <t>Hence Provided b</t>
  </si>
  <si>
    <t>The wall will be unsafe against sliding. This will be made safe by providing a shear Key at base .</t>
  </si>
  <si>
    <t>Width of toe slab</t>
  </si>
  <si>
    <r>
      <t>a</t>
    </r>
    <r>
      <rPr>
        <sz val="10"/>
        <rFont val="Arial"/>
        <family val="0"/>
      </rPr>
      <t xml:space="preserve"> x b</t>
    </r>
  </si>
  <si>
    <t xml:space="preserve">m </t>
  </si>
  <si>
    <t xml:space="preserve">Let the thickness of base be </t>
  </si>
  <si>
    <t>H/12</t>
  </si>
  <si>
    <t xml:space="preserve">or say </t>
  </si>
  <si>
    <t>for design purpose</t>
  </si>
  <si>
    <t>Thickness of stem:-</t>
  </si>
  <si>
    <t>Heigth AB</t>
  </si>
  <si>
    <t>K x y</t>
  </si>
  <si>
    <t>Maximum Bending momentat B =</t>
  </si>
  <si>
    <t>Kn-m</t>
  </si>
  <si>
    <t>Keep d</t>
  </si>
  <si>
    <t xml:space="preserve">mm  and  total  thickness </t>
  </si>
  <si>
    <t>Nominal cover</t>
  </si>
  <si>
    <r>
      <t xml:space="preserve">mm </t>
    </r>
    <r>
      <rPr>
        <sz val="10"/>
        <rFont val="Symbol"/>
        <family val="1"/>
      </rPr>
      <t xml:space="preserve">F </t>
    </r>
    <r>
      <rPr>
        <sz val="10"/>
        <rFont val="Arial"/>
        <family val="2"/>
      </rPr>
      <t xml:space="preserve">bar will be used. </t>
    </r>
  </si>
  <si>
    <t>a nominal cover of =</t>
  </si>
  <si>
    <t xml:space="preserve">Reduce the total thickness to </t>
  </si>
  <si>
    <t xml:space="preserve">mm  at  top  so  that  effective  depth  of </t>
  </si>
  <si>
    <t>Stability of wall:-</t>
  </si>
  <si>
    <t>Provided toe slab =</t>
  </si>
  <si>
    <t>Full dimension wall is shown in fig 1a</t>
  </si>
  <si>
    <t>weight of rectangular portion of stem</t>
  </si>
  <si>
    <r>
      <t>Let W</t>
    </r>
    <r>
      <rPr>
        <vertAlign val="subscript"/>
        <sz val="10"/>
        <rFont val="Arial"/>
        <family val="2"/>
      </rPr>
      <t>1</t>
    </r>
  </si>
  <si>
    <r>
      <t>w</t>
    </r>
    <r>
      <rPr>
        <vertAlign val="subscript"/>
        <sz val="10"/>
        <rFont val="Arial"/>
        <family val="2"/>
      </rPr>
      <t>2</t>
    </r>
  </si>
  <si>
    <r>
      <t>w</t>
    </r>
    <r>
      <rPr>
        <vertAlign val="subscript"/>
        <sz val="10"/>
        <rFont val="Arial"/>
        <family val="2"/>
      </rPr>
      <t>3</t>
    </r>
  </si>
  <si>
    <r>
      <t>w</t>
    </r>
    <r>
      <rPr>
        <vertAlign val="subscript"/>
        <sz val="10"/>
        <rFont val="Arial"/>
        <family val="2"/>
      </rPr>
      <t>4</t>
    </r>
  </si>
  <si>
    <t>weight of triangular portion of stem</t>
  </si>
  <si>
    <t>weight of base slab</t>
  </si>
  <si>
    <t>weight of soil on heel slab.</t>
  </si>
  <si>
    <t>The calculation are arrenged in Table</t>
  </si>
  <si>
    <t xml:space="preserve">Hence width of heel slab </t>
  </si>
  <si>
    <t>1/2</t>
  </si>
  <si>
    <t>lever arm</t>
  </si>
  <si>
    <r>
      <t>w</t>
    </r>
    <r>
      <rPr>
        <vertAlign val="subscript"/>
        <sz val="10"/>
        <rFont val="Arial"/>
        <family val="2"/>
      </rPr>
      <t>1</t>
    </r>
  </si>
  <si>
    <r>
      <t>w</t>
    </r>
    <r>
      <rPr>
        <vertAlign val="subscript"/>
        <sz val="10"/>
        <rFont val="Arial"/>
        <family val="2"/>
      </rPr>
      <t>2</t>
    </r>
  </si>
  <si>
    <r>
      <t>w</t>
    </r>
    <r>
      <rPr>
        <vertAlign val="subscript"/>
        <sz val="10"/>
        <rFont val="Arial"/>
        <family val="2"/>
      </rPr>
      <t>3</t>
    </r>
  </si>
  <si>
    <r>
      <t>w</t>
    </r>
    <r>
      <rPr>
        <vertAlign val="subscript"/>
        <sz val="10"/>
        <rFont val="Arial"/>
        <family val="2"/>
      </rPr>
      <t>4</t>
    </r>
  </si>
  <si>
    <t>Moment about toe (KN-m)</t>
  </si>
  <si>
    <r>
      <t>S</t>
    </r>
    <r>
      <rPr>
        <i/>
        <sz val="10"/>
        <rFont val="Arial"/>
        <family val="2"/>
      </rPr>
      <t>w</t>
    </r>
  </si>
  <si>
    <t>Total resisting moment</t>
  </si>
  <si>
    <r>
      <t>total M</t>
    </r>
    <r>
      <rPr>
        <vertAlign val="subscript"/>
        <sz val="10"/>
        <rFont val="Arial"/>
        <family val="2"/>
      </rPr>
      <t>R</t>
    </r>
  </si>
  <si>
    <t>kN-m</t>
  </si>
  <si>
    <r>
      <t>kN/m</t>
    </r>
    <r>
      <rPr>
        <vertAlign val="superscript"/>
        <sz val="10"/>
        <rFont val="Arial"/>
        <family val="2"/>
      </rPr>
      <t>3</t>
    </r>
  </si>
  <si>
    <t>p</t>
  </si>
  <si>
    <t>H</t>
  </si>
  <si>
    <r>
      <t>)</t>
    </r>
    <r>
      <rPr>
        <vertAlign val="superscript"/>
        <sz val="10"/>
        <rFont val="Arial"/>
        <family val="2"/>
      </rPr>
      <t>2</t>
    </r>
  </si>
  <si>
    <t>kN</t>
  </si>
  <si>
    <t>(1)</t>
  </si>
  <si>
    <t xml:space="preserve">Over turning </t>
  </si>
  <si>
    <t xml:space="preserve">Over turning moment Mo </t>
  </si>
  <si>
    <t>F.S. against over turning</t>
  </si>
  <si>
    <t>&gt;</t>
  </si>
  <si>
    <t>Hence safe</t>
  </si>
  <si>
    <t xml:space="preserve">Pressure distribution </t>
  </si>
  <si>
    <r>
      <t xml:space="preserve">net moment </t>
    </r>
    <r>
      <rPr>
        <sz val="10"/>
        <rFont val="Symbol"/>
        <family val="1"/>
      </rPr>
      <t>S</t>
    </r>
    <r>
      <rPr>
        <sz val="10"/>
        <rFont val="Arial"/>
        <family val="0"/>
      </rPr>
      <t>M =</t>
    </r>
  </si>
  <si>
    <t>Distance x of the point of application of resultant, from toe is</t>
  </si>
  <si>
    <r>
      <t>S</t>
    </r>
    <r>
      <rPr>
        <sz val="10"/>
        <rFont val="Arial"/>
        <family val="0"/>
      </rPr>
      <t>M</t>
    </r>
  </si>
  <si>
    <r>
      <t>S</t>
    </r>
    <r>
      <rPr>
        <sz val="10"/>
        <rFont val="Arial"/>
        <family val="0"/>
      </rPr>
      <t>w</t>
    </r>
  </si>
  <si>
    <t>&lt;</t>
  </si>
  <si>
    <r>
      <t>Pressure p</t>
    </r>
    <r>
      <rPr>
        <vertAlign val="subscript"/>
        <sz val="10"/>
        <rFont val="Arial"/>
        <family val="2"/>
      </rPr>
      <t>1</t>
    </r>
    <r>
      <rPr>
        <sz val="10"/>
        <rFont val="Arial"/>
        <family val="0"/>
      </rPr>
      <t xml:space="preserve"> at toe </t>
    </r>
  </si>
  <si>
    <t>Eccenticity  e</t>
  </si>
  <si>
    <r>
      <t>S</t>
    </r>
    <r>
      <rPr>
        <i/>
        <sz val="10"/>
        <rFont val="Arial"/>
        <family val="2"/>
      </rPr>
      <t>W</t>
    </r>
  </si>
  <si>
    <t>1 -</t>
  </si>
  <si>
    <t>6 e</t>
  </si>
  <si>
    <t>6x</t>
  </si>
  <si>
    <t>1 +</t>
  </si>
  <si>
    <r>
      <t>kN-m</t>
    </r>
    <r>
      <rPr>
        <vertAlign val="superscript"/>
        <sz val="10"/>
        <rFont val="Arial"/>
        <family val="2"/>
      </rPr>
      <t>2</t>
    </r>
  </si>
  <si>
    <r>
      <t>kN -m</t>
    </r>
    <r>
      <rPr>
        <vertAlign val="superscript"/>
        <sz val="10"/>
        <rFont val="Arial"/>
        <family val="2"/>
      </rPr>
      <t>2</t>
    </r>
  </si>
  <si>
    <r>
      <t>Pressure p</t>
    </r>
    <r>
      <rPr>
        <vertAlign val="subscript"/>
        <sz val="10"/>
        <rFont val="Arial"/>
        <family val="2"/>
      </rPr>
      <t>1</t>
    </r>
    <r>
      <rPr>
        <sz val="10"/>
        <rFont val="Arial"/>
        <family val="0"/>
      </rPr>
      <t xml:space="preserve"> at Heel </t>
    </r>
  </si>
  <si>
    <t>Pressure p at the junction of stem with toe slab is</t>
  </si>
  <si>
    <t>..(1)</t>
  </si>
  <si>
    <t>..(2)</t>
  </si>
  <si>
    <t>Design of toe slab:-</t>
  </si>
  <si>
    <t xml:space="preserve">                          The upward pressure distribution on the toe slab is shown in fig 1b .The weight of soil above the toe slab is neglicted . Thus two forces are acting on it</t>
  </si>
  <si>
    <t>Up ward soil pressure</t>
  </si>
  <si>
    <t>(2) Down ward weight of slab</t>
  </si>
  <si>
    <t xml:space="preserve"> Down ward weight of slab per unit area</t>
  </si>
  <si>
    <t>Hence net pressure intensities will be</t>
  </si>
  <si>
    <r>
      <t>kN-m</t>
    </r>
    <r>
      <rPr>
        <vertAlign val="superscript"/>
        <sz val="10"/>
        <rFont val="Arial"/>
        <family val="2"/>
      </rPr>
      <t xml:space="preserve">2 </t>
    </r>
  </si>
  <si>
    <t>) x</t>
  </si>
  <si>
    <t xml:space="preserve">kN </t>
  </si>
  <si>
    <r>
      <t>kN-m</t>
    </r>
    <r>
      <rPr>
        <vertAlign val="superscript"/>
        <sz val="10"/>
        <rFont val="Arial"/>
        <family val="2"/>
      </rPr>
      <t xml:space="preserve">2 </t>
    </r>
    <r>
      <rPr>
        <sz val="10"/>
        <rFont val="Arial"/>
        <family val="2"/>
      </rPr>
      <t xml:space="preserve"> under</t>
    </r>
    <r>
      <rPr>
        <i/>
        <sz val="10"/>
        <rFont val="Arial"/>
        <family val="2"/>
      </rPr>
      <t xml:space="preserve"> D</t>
    </r>
  </si>
  <si>
    <r>
      <t>x from</t>
    </r>
    <r>
      <rPr>
        <i/>
        <sz val="10"/>
        <rFont val="Arial"/>
        <family val="2"/>
      </rPr>
      <t xml:space="preserve"> E</t>
    </r>
  </si>
  <si>
    <t xml:space="preserve">+  </t>
  </si>
  <si>
    <r>
      <t xml:space="preserve">B.M. at </t>
    </r>
    <r>
      <rPr>
        <i/>
        <sz val="10"/>
        <rFont val="Arial"/>
        <family val="2"/>
      </rPr>
      <t>E</t>
    </r>
    <r>
      <rPr>
        <sz val="10"/>
        <rFont val="Arial"/>
        <family val="0"/>
      </rPr>
      <t xml:space="preserve"> </t>
    </r>
  </si>
  <si>
    <t>Keep effective depth  d</t>
  </si>
  <si>
    <t xml:space="preserve">The reinforcement has to be provided at bottom face .If alternate bars of stem reiforcerment are </t>
  </si>
  <si>
    <t>are bent and continued in toe slab, area available</t>
  </si>
  <si>
    <t xml:space="preserve">Spacing </t>
  </si>
  <si>
    <t>A x1000 / Ast</t>
  </si>
  <si>
    <r>
      <t xml:space="preserve">mm </t>
    </r>
    <r>
      <rPr>
        <sz val="10"/>
        <rFont val="Symbol"/>
        <family val="1"/>
      </rPr>
      <t xml:space="preserve">F </t>
    </r>
    <r>
      <rPr>
        <sz val="10"/>
        <rFont val="Arial"/>
        <family val="2"/>
      </rPr>
      <t>bar, @</t>
    </r>
  </si>
  <si>
    <t>mm c/c</t>
  </si>
  <si>
    <r>
      <t>a</t>
    </r>
    <r>
      <rPr>
        <sz val="10"/>
        <rFont val="Arial"/>
        <family val="0"/>
      </rPr>
      <t xml:space="preserve"> b</t>
    </r>
  </si>
  <si>
    <t>P=</t>
  </si>
  <si>
    <t>`</t>
  </si>
  <si>
    <t>e</t>
  </si>
  <si>
    <r>
      <t>a</t>
    </r>
    <r>
      <rPr>
        <vertAlign val="subscript"/>
        <sz val="10"/>
        <rFont val="Arial"/>
        <family val="2"/>
      </rPr>
      <t>1</t>
    </r>
  </si>
  <si>
    <r>
      <t>D</t>
    </r>
    <r>
      <rPr>
        <vertAlign val="subscript"/>
        <sz val="10"/>
        <rFont val="Arial"/>
        <family val="2"/>
      </rPr>
      <t>1</t>
    </r>
  </si>
  <si>
    <r>
      <t>C</t>
    </r>
    <r>
      <rPr>
        <vertAlign val="subscript"/>
        <sz val="10"/>
        <rFont val="Arial"/>
        <family val="2"/>
      </rPr>
      <t>1</t>
    </r>
  </si>
  <si>
    <r>
      <t>K</t>
    </r>
    <r>
      <rPr>
        <vertAlign val="subscript"/>
        <sz val="10"/>
        <rFont val="Arial"/>
        <family val="2"/>
      </rPr>
      <t>p</t>
    </r>
    <r>
      <rPr>
        <sz val="10"/>
        <rFont val="Arial"/>
        <family val="0"/>
      </rPr>
      <t>p</t>
    </r>
  </si>
  <si>
    <r>
      <t>P</t>
    </r>
    <r>
      <rPr>
        <vertAlign val="subscript"/>
        <sz val="10"/>
        <rFont val="Arial"/>
        <family val="2"/>
      </rPr>
      <t>p</t>
    </r>
    <r>
      <rPr>
        <sz val="10"/>
        <rFont val="Arial"/>
        <family val="0"/>
      </rPr>
      <t xml:space="preserve"> =</t>
    </r>
  </si>
  <si>
    <r>
      <t>K</t>
    </r>
    <r>
      <rPr>
        <vertAlign val="subscript"/>
        <sz val="10"/>
        <rFont val="Arial"/>
        <family val="2"/>
      </rPr>
      <t>a</t>
    </r>
    <r>
      <rPr>
        <sz val="10"/>
        <rFont val="Arial"/>
        <family val="0"/>
      </rPr>
      <t>y(H+a)</t>
    </r>
  </si>
  <si>
    <t>Design of heel slab :-</t>
  </si>
  <si>
    <t>Three force act on it</t>
  </si>
  <si>
    <t>upward soil pressure</t>
  </si>
  <si>
    <t>m high</t>
  </si>
  <si>
    <t>KN  say</t>
  </si>
  <si>
    <t>Acting at</t>
  </si>
  <si>
    <r>
      <t xml:space="preserve">m from </t>
    </r>
    <r>
      <rPr>
        <i/>
        <sz val="10"/>
        <rFont val="Arial"/>
        <family val="2"/>
      </rPr>
      <t>B</t>
    </r>
    <r>
      <rPr>
        <sz val="10"/>
        <rFont val="Arial"/>
        <family val="0"/>
      </rPr>
      <t>.</t>
    </r>
  </si>
  <si>
    <t>Total weight of heel slab</t>
  </si>
  <si>
    <t xml:space="preserve">mm  or </t>
  </si>
  <si>
    <t>m at  edge</t>
  </si>
  <si>
    <t>Total force</t>
  </si>
  <si>
    <t>Total upward soil pressure</t>
  </si>
  <si>
    <t>=(</t>
  </si>
  <si>
    <t>)+(</t>
  </si>
  <si>
    <t>)-(</t>
  </si>
  <si>
    <r>
      <t xml:space="preserve">mm </t>
    </r>
    <r>
      <rPr>
        <sz val="10"/>
        <rFont val="Symbol"/>
        <family val="1"/>
      </rPr>
      <t>F</t>
    </r>
    <r>
      <rPr>
        <sz val="10"/>
        <rFont val="Arial"/>
        <family val="0"/>
      </rPr>
      <t xml:space="preserve"> bars, Area </t>
    </r>
  </si>
  <si>
    <r>
      <t xml:space="preserve"> P </t>
    </r>
    <r>
      <rPr>
        <sz val="10"/>
        <rFont val="Arial"/>
        <family val="2"/>
      </rPr>
      <t>D</t>
    </r>
    <r>
      <rPr>
        <vertAlign val="superscript"/>
        <sz val="10"/>
        <rFont val="Arial"/>
        <family val="2"/>
      </rPr>
      <t>2</t>
    </r>
  </si>
  <si>
    <t>Spacing =</t>
  </si>
  <si>
    <r>
      <t>)</t>
    </r>
    <r>
      <rPr>
        <vertAlign val="superscript"/>
        <sz val="10"/>
        <rFont val="Arial"/>
        <family val="2"/>
      </rPr>
      <t>'2</t>
    </r>
  </si>
  <si>
    <t>mm  say</t>
  </si>
  <si>
    <t>Hence provided these @</t>
  </si>
  <si>
    <t>mm c/c at the top of keep slab.</t>
  </si>
  <si>
    <t xml:space="preserve">Take the reinforcement into toe </t>
  </si>
  <si>
    <t xml:space="preserve">from a distance of </t>
  </si>
  <si>
    <t>@</t>
  </si>
  <si>
    <t>Distribution steel</t>
  </si>
  <si>
    <r>
      <t>Table 3.1.</t>
    </r>
    <r>
      <rPr>
        <b/>
        <sz val="11"/>
        <rFont val="Arial"/>
        <family val="0"/>
      </rPr>
      <t xml:space="preserve"> Permissible shear stress Table </t>
    </r>
    <r>
      <rPr>
        <b/>
        <sz val="11"/>
        <rFont val="Symbol"/>
        <family val="1"/>
      </rPr>
      <t>t</t>
    </r>
    <r>
      <rPr>
        <b/>
        <vertAlign val="subscript"/>
        <sz val="11"/>
        <rFont val="Arial"/>
        <family val="2"/>
      </rPr>
      <t>c</t>
    </r>
    <r>
      <rPr>
        <b/>
        <sz val="11"/>
        <rFont val="Arial"/>
        <family val="2"/>
      </rPr>
      <t xml:space="preserve"> </t>
    </r>
    <r>
      <rPr>
        <b/>
        <sz val="11"/>
        <rFont val="Arial"/>
        <family val="0"/>
      </rPr>
      <t>in concrete (IS : 456-2000)</t>
    </r>
  </si>
  <si>
    <r>
      <t xml:space="preserve">Permissible shear stress </t>
    </r>
    <r>
      <rPr>
        <sz val="10"/>
        <rFont val="Arial"/>
        <family val="2"/>
      </rPr>
      <t xml:space="preserve"> </t>
    </r>
    <r>
      <rPr>
        <sz val="10"/>
        <rFont val="Arial"/>
        <family val="0"/>
      </rPr>
      <t>in concrete  t</t>
    </r>
    <r>
      <rPr>
        <vertAlign val="subscript"/>
        <sz val="10"/>
        <rFont val="Arial"/>
        <family val="2"/>
      </rPr>
      <t>c</t>
    </r>
    <r>
      <rPr>
        <sz val="10"/>
        <rFont val="Arial"/>
        <family val="0"/>
      </rPr>
      <t xml:space="preserve">  N/mm</t>
    </r>
    <r>
      <rPr>
        <vertAlign val="superscript"/>
        <sz val="10"/>
        <rFont val="Arial"/>
        <family val="2"/>
      </rPr>
      <t>2</t>
    </r>
  </si>
  <si>
    <t>Grade of concrete</t>
  </si>
  <si>
    <t>M-10</t>
  </si>
  <si>
    <t>M-15</t>
  </si>
  <si>
    <t>M-20</t>
  </si>
  <si>
    <t>M-25</t>
  </si>
  <si>
    <t>M-30</t>
  </si>
  <si>
    <t>M-35</t>
  </si>
  <si>
    <t>M-40</t>
  </si>
  <si>
    <r>
      <t>Tensile stress N/mm</t>
    </r>
    <r>
      <rPr>
        <vertAlign val="superscript"/>
        <sz val="10"/>
        <rFont val="Arial"/>
        <family val="2"/>
      </rPr>
      <t>2</t>
    </r>
  </si>
  <si>
    <r>
      <t>Table 1.16..</t>
    </r>
    <r>
      <rPr>
        <b/>
        <sz val="11"/>
        <rFont val="Arial"/>
        <family val="0"/>
      </rPr>
      <t xml:space="preserve">  Permissible  stress </t>
    </r>
    <r>
      <rPr>
        <b/>
        <sz val="11"/>
        <rFont val="Arial"/>
        <family val="2"/>
      </rPr>
      <t xml:space="preserve"> </t>
    </r>
    <r>
      <rPr>
        <b/>
        <sz val="11"/>
        <rFont val="Arial"/>
        <family val="0"/>
      </rPr>
      <t>in concrete (IS : 456-2000)</t>
    </r>
  </si>
  <si>
    <r>
      <t>Permission stress in compression (N/mm</t>
    </r>
    <r>
      <rPr>
        <vertAlign val="superscript"/>
        <sz val="10"/>
        <rFont val="Arial"/>
        <family val="2"/>
      </rPr>
      <t>2</t>
    </r>
    <r>
      <rPr>
        <sz val="10"/>
        <rFont val="Arial"/>
        <family val="0"/>
      </rPr>
      <t>)</t>
    </r>
  </si>
  <si>
    <r>
      <t>Permissible stress in bond (Average) for plain bars in tention (N/mm</t>
    </r>
    <r>
      <rPr>
        <vertAlign val="superscript"/>
        <sz val="10"/>
        <rFont val="Arial"/>
        <family val="2"/>
      </rPr>
      <t>2</t>
    </r>
    <r>
      <rPr>
        <sz val="10"/>
        <rFont val="Arial"/>
        <family val="0"/>
      </rPr>
      <t>)</t>
    </r>
  </si>
  <si>
    <r>
      <t xml:space="preserve">Bending </t>
    </r>
    <r>
      <rPr>
        <sz val="8"/>
        <rFont val="Symbol"/>
        <family val="1"/>
      </rPr>
      <t>a</t>
    </r>
    <r>
      <rPr>
        <vertAlign val="subscript"/>
        <sz val="8"/>
        <rFont val="Arial"/>
        <family val="2"/>
      </rPr>
      <t>cbc</t>
    </r>
  </si>
  <si>
    <r>
      <t>Direct (</t>
    </r>
    <r>
      <rPr>
        <sz val="11"/>
        <rFont val="Symbol"/>
        <family val="1"/>
      </rPr>
      <t>a</t>
    </r>
    <r>
      <rPr>
        <vertAlign val="subscript"/>
        <sz val="10"/>
        <rFont val="Arial"/>
        <family val="2"/>
      </rPr>
      <t>cc</t>
    </r>
    <r>
      <rPr>
        <sz val="10"/>
        <rFont val="Arial"/>
        <family val="0"/>
      </rPr>
      <t>)</t>
    </r>
  </si>
  <si>
    <t>(N/mm2)</t>
  </si>
  <si>
    <r>
      <t>Kg/m</t>
    </r>
    <r>
      <rPr>
        <vertAlign val="superscript"/>
        <sz val="10"/>
        <rFont val="Arial"/>
        <family val="2"/>
      </rPr>
      <t>2</t>
    </r>
  </si>
  <si>
    <r>
      <t>in kg/m</t>
    </r>
    <r>
      <rPr>
        <vertAlign val="superscript"/>
        <sz val="10"/>
        <rFont val="Arial"/>
        <family val="2"/>
      </rPr>
      <t>2</t>
    </r>
  </si>
  <si>
    <t>M  10</t>
  </si>
  <si>
    <t>--</t>
  </si>
  <si>
    <t>M  15</t>
  </si>
  <si>
    <t>M  20</t>
  </si>
  <si>
    <t>M  25</t>
  </si>
  <si>
    <t>M  30</t>
  </si>
  <si>
    <t>M  35</t>
  </si>
  <si>
    <t>3.00 and above</t>
  </si>
  <si>
    <t>M  40</t>
  </si>
  <si>
    <t>M  45</t>
  </si>
  <si>
    <t>M  50</t>
  </si>
  <si>
    <t>Over all depth of slab</t>
  </si>
  <si>
    <t>150 or less</t>
  </si>
  <si>
    <t>k</t>
  </si>
  <si>
    <r>
      <t>Table  3.3.</t>
    </r>
    <r>
      <rPr>
        <b/>
        <sz val="11"/>
        <rFont val="Arial"/>
        <family val="0"/>
      </rPr>
      <t xml:space="preserve">   Maximum shear stress </t>
    </r>
    <r>
      <rPr>
        <sz val="11"/>
        <rFont val="Arial"/>
        <family val="0"/>
      </rPr>
      <t xml:space="preserve"> </t>
    </r>
    <r>
      <rPr>
        <sz val="11"/>
        <rFont val="Symbol"/>
        <family val="1"/>
      </rPr>
      <t>t</t>
    </r>
    <r>
      <rPr>
        <vertAlign val="subscript"/>
        <sz val="11"/>
        <rFont val="Arial"/>
        <family val="2"/>
      </rPr>
      <t>c.m</t>
    </r>
    <r>
      <rPr>
        <b/>
        <vertAlign val="subscript"/>
        <sz val="11"/>
        <rFont val="Arial"/>
        <family val="2"/>
      </rPr>
      <t xml:space="preserve">ax </t>
    </r>
    <r>
      <rPr>
        <b/>
        <sz val="11"/>
        <rFont val="Arial"/>
        <family val="2"/>
      </rPr>
      <t xml:space="preserve"> </t>
    </r>
    <r>
      <rPr>
        <b/>
        <sz val="11"/>
        <rFont val="Arial"/>
        <family val="0"/>
      </rPr>
      <t>in concrete (IS : 456-2000)</t>
    </r>
  </si>
  <si>
    <t>Modular ratio m</t>
  </si>
  <si>
    <t>31       (31.11)</t>
  </si>
  <si>
    <t>19  (18.67)</t>
  </si>
  <si>
    <t>13   (13.33)</t>
  </si>
  <si>
    <t>11   (10.98)</t>
  </si>
  <si>
    <t>9       (9.33)</t>
  </si>
  <si>
    <t>8       (8.11)</t>
  </si>
  <si>
    <t>7       (7.18)</t>
  </si>
  <si>
    <r>
      <t>t</t>
    </r>
    <r>
      <rPr>
        <vertAlign val="subscript"/>
        <sz val="10"/>
        <rFont val="Arial"/>
        <family val="2"/>
      </rPr>
      <t>c</t>
    </r>
    <r>
      <rPr>
        <sz val="10"/>
        <rFont val="Arial"/>
        <family val="0"/>
      </rPr>
      <t>.</t>
    </r>
    <r>
      <rPr>
        <vertAlign val="subscript"/>
        <sz val="10"/>
        <rFont val="Arial"/>
        <family val="2"/>
      </rPr>
      <t>max</t>
    </r>
    <r>
      <rPr>
        <sz val="10"/>
        <rFont val="Arial"/>
        <family val="0"/>
      </rPr>
      <t xml:space="preserve"> </t>
    </r>
  </si>
  <si>
    <r>
      <t>Table  3.4</t>
    </r>
    <r>
      <rPr>
        <b/>
        <sz val="11"/>
        <rFont val="Arial"/>
        <family val="0"/>
      </rPr>
      <t xml:space="preserve">.  Permissible Bond  stress Table </t>
    </r>
    <r>
      <rPr>
        <b/>
        <sz val="11"/>
        <rFont val="Symbol"/>
        <family val="1"/>
      </rPr>
      <t>t</t>
    </r>
    <r>
      <rPr>
        <b/>
        <vertAlign val="subscript"/>
        <sz val="11"/>
        <rFont val="Arial"/>
        <family val="2"/>
      </rPr>
      <t>bd</t>
    </r>
    <r>
      <rPr>
        <b/>
        <sz val="11"/>
        <rFont val="Arial"/>
        <family val="2"/>
      </rPr>
      <t xml:space="preserve"> </t>
    </r>
    <r>
      <rPr>
        <b/>
        <sz val="11"/>
        <rFont val="Arial"/>
        <family val="0"/>
      </rPr>
      <t>in concrete (IS : 456-2000)</t>
    </r>
  </si>
  <si>
    <t>Modular Ratio</t>
  </si>
  <si>
    <t>M-45</t>
  </si>
  <si>
    <t>M-50</t>
  </si>
  <si>
    <r>
      <t>s</t>
    </r>
    <r>
      <rPr>
        <vertAlign val="subscript"/>
        <sz val="10"/>
        <rFont val="Arial"/>
        <family val="2"/>
      </rPr>
      <t xml:space="preserve">cbc  </t>
    </r>
    <r>
      <rPr>
        <sz val="10"/>
        <rFont val="Arial"/>
        <family val="2"/>
      </rPr>
      <t>N/mm</t>
    </r>
    <r>
      <rPr>
        <vertAlign val="superscript"/>
        <sz val="10"/>
        <rFont val="Arial"/>
        <family val="2"/>
      </rPr>
      <t>2</t>
    </r>
  </si>
  <si>
    <r>
      <t>t</t>
    </r>
    <r>
      <rPr>
        <vertAlign val="subscript"/>
        <sz val="10"/>
        <rFont val="Arial"/>
        <family val="2"/>
      </rPr>
      <t xml:space="preserve">bd   </t>
    </r>
    <r>
      <rPr>
        <sz val="10"/>
        <rFont val="Arial"/>
        <family val="2"/>
      </rPr>
      <t>(N / mm</t>
    </r>
    <r>
      <rPr>
        <vertAlign val="superscript"/>
        <sz val="10"/>
        <rFont val="Arial"/>
        <family val="2"/>
      </rPr>
      <t>2</t>
    </r>
    <r>
      <rPr>
        <sz val="10"/>
        <rFont val="Arial"/>
        <family val="2"/>
      </rPr>
      <t>)</t>
    </r>
  </si>
  <si>
    <r>
      <t xml:space="preserve">m </t>
    </r>
    <r>
      <rPr>
        <sz val="12"/>
        <rFont val="Symbol"/>
        <family val="1"/>
      </rPr>
      <t>s</t>
    </r>
    <r>
      <rPr>
        <vertAlign val="subscript"/>
        <sz val="10"/>
        <rFont val="Arial"/>
        <family val="2"/>
      </rPr>
      <t>cbc</t>
    </r>
  </si>
  <si>
    <r>
      <t xml:space="preserve">(a) </t>
    </r>
    <r>
      <rPr>
        <sz val="10"/>
        <rFont val="Symbol"/>
        <family val="1"/>
      </rPr>
      <t>s</t>
    </r>
    <r>
      <rPr>
        <vertAlign val="subscript"/>
        <sz val="10"/>
        <rFont val="Arial"/>
        <family val="2"/>
      </rPr>
      <t>st</t>
    </r>
    <r>
      <rPr>
        <sz val="10"/>
        <rFont val="Arial"/>
        <family val="0"/>
      </rPr>
      <t xml:space="preserve"> = 140 N/mm2 (Fe 250)</t>
    </r>
  </si>
  <si>
    <r>
      <t>k</t>
    </r>
    <r>
      <rPr>
        <vertAlign val="subscript"/>
        <sz val="10"/>
        <rFont val="Arial"/>
        <family val="0"/>
      </rPr>
      <t>c</t>
    </r>
  </si>
  <si>
    <r>
      <t>Table 3.5</t>
    </r>
    <r>
      <rPr>
        <b/>
        <sz val="11"/>
        <rFont val="Arial"/>
        <family val="2"/>
      </rPr>
      <t>.  Development   Length  in tension</t>
    </r>
  </si>
  <si>
    <r>
      <t>j</t>
    </r>
    <r>
      <rPr>
        <vertAlign val="subscript"/>
        <sz val="10"/>
        <rFont val="Arial"/>
        <family val="0"/>
      </rPr>
      <t>c</t>
    </r>
  </si>
  <si>
    <r>
      <t>R</t>
    </r>
    <r>
      <rPr>
        <vertAlign val="subscript"/>
        <sz val="10"/>
        <rFont val="Arial"/>
        <family val="0"/>
      </rPr>
      <t>c</t>
    </r>
  </si>
  <si>
    <t>Plain M.S. Bars</t>
  </si>
  <si>
    <t>H.Y.S.D. Bars</t>
  </si>
  <si>
    <r>
      <t>P</t>
    </r>
    <r>
      <rPr>
        <vertAlign val="subscript"/>
        <sz val="10"/>
        <rFont val="Arial"/>
        <family val="0"/>
      </rPr>
      <t>c</t>
    </r>
    <r>
      <rPr>
        <vertAlign val="subscript"/>
        <sz val="10"/>
        <rFont val="Arial"/>
        <family val="2"/>
      </rPr>
      <t xml:space="preserve"> </t>
    </r>
    <r>
      <rPr>
        <sz val="10"/>
        <rFont val="Arial"/>
        <family val="2"/>
      </rPr>
      <t>(%)</t>
    </r>
  </si>
  <si>
    <r>
      <t>t</t>
    </r>
    <r>
      <rPr>
        <vertAlign val="subscript"/>
        <sz val="10"/>
        <rFont val="Arial"/>
        <family val="2"/>
      </rPr>
      <t>bd</t>
    </r>
    <r>
      <rPr>
        <sz val="10"/>
        <rFont val="Arial"/>
        <family val="0"/>
      </rPr>
      <t xml:space="preserve">   (N / mm2)</t>
    </r>
  </si>
  <si>
    <r>
      <t>k</t>
    </r>
    <r>
      <rPr>
        <vertAlign val="subscript"/>
        <sz val="10"/>
        <rFont val="Arial"/>
        <family val="2"/>
      </rPr>
      <t>d</t>
    </r>
    <r>
      <rPr>
        <sz val="10"/>
        <rFont val="Arial"/>
        <family val="0"/>
      </rPr>
      <t xml:space="preserve"> = L</t>
    </r>
    <r>
      <rPr>
        <vertAlign val="subscript"/>
        <sz val="10"/>
        <rFont val="Arial"/>
        <family val="2"/>
      </rPr>
      <t>d</t>
    </r>
    <r>
      <rPr>
        <sz val="10"/>
        <rFont val="Arial"/>
        <family val="0"/>
      </rPr>
      <t xml:space="preserve"> </t>
    </r>
    <r>
      <rPr>
        <sz val="10"/>
        <rFont val="Symbol"/>
        <family val="1"/>
      </rPr>
      <t>F</t>
    </r>
  </si>
  <si>
    <r>
      <t xml:space="preserve">(b) </t>
    </r>
    <r>
      <rPr>
        <sz val="10"/>
        <rFont val="Symbol"/>
        <family val="1"/>
      </rPr>
      <t>s</t>
    </r>
    <r>
      <rPr>
        <vertAlign val="subscript"/>
        <sz val="10"/>
        <rFont val="Arial"/>
        <family val="2"/>
      </rPr>
      <t>st</t>
    </r>
    <r>
      <rPr>
        <sz val="10"/>
        <rFont val="Arial"/>
        <family val="0"/>
      </rPr>
      <t xml:space="preserve"> = 190 N/mm2 </t>
    </r>
  </si>
  <si>
    <t>M 15</t>
  </si>
  <si>
    <t>M 20</t>
  </si>
  <si>
    <t>M 25</t>
  </si>
  <si>
    <t>M 30</t>
  </si>
  <si>
    <r>
      <t xml:space="preserve">(c ) </t>
    </r>
    <r>
      <rPr>
        <sz val="10"/>
        <rFont val="Symbol"/>
        <family val="1"/>
      </rPr>
      <t>s</t>
    </r>
    <r>
      <rPr>
        <vertAlign val="subscript"/>
        <sz val="10"/>
        <rFont val="Arial"/>
        <family val="2"/>
      </rPr>
      <t>st</t>
    </r>
    <r>
      <rPr>
        <sz val="10"/>
        <rFont val="Arial"/>
        <family val="0"/>
      </rPr>
      <t xml:space="preserve"> = 230 N/mm2 (Fe 415)</t>
    </r>
  </si>
  <si>
    <t xml:space="preserve"> M 35</t>
  </si>
  <si>
    <t>M 40</t>
  </si>
  <si>
    <t>M 45</t>
  </si>
  <si>
    <t>M 50</t>
  </si>
  <si>
    <r>
      <t xml:space="preserve">(d) </t>
    </r>
    <r>
      <rPr>
        <sz val="10"/>
        <rFont val="Symbol"/>
        <family val="1"/>
      </rPr>
      <t>s</t>
    </r>
    <r>
      <rPr>
        <vertAlign val="subscript"/>
        <sz val="10"/>
        <rFont val="Arial"/>
        <family val="2"/>
      </rPr>
      <t>st</t>
    </r>
    <r>
      <rPr>
        <sz val="10"/>
        <rFont val="Arial"/>
        <family val="0"/>
      </rPr>
      <t xml:space="preserve"> = 275 N/mm2  (Fe 500)</t>
    </r>
  </si>
  <si>
    <t>Nomber of Bars =</t>
  </si>
  <si>
    <t>Ast/A</t>
  </si>
  <si>
    <t xml:space="preserve">say </t>
  </si>
  <si>
    <t>No.</t>
  </si>
  <si>
    <t xml:space="preserve"> bars of  </t>
  </si>
  <si>
    <t>% of steel provided =</t>
  </si>
  <si>
    <t>Beam Ht.x beam wt.</t>
  </si>
  <si>
    <t xml:space="preserve">Permissible shear stress for </t>
  </si>
  <si>
    <t>(See Table 3.1)</t>
  </si>
  <si>
    <t>Reinforcement in the stem:-</t>
  </si>
  <si>
    <t>We had earliar assume the thickeness of heel slab as</t>
  </si>
  <si>
    <t>While it has now been fixed as</t>
  </si>
  <si>
    <t xml:space="preserve">m only. </t>
  </si>
  <si>
    <t>H1</t>
  </si>
  <si>
    <r>
      <t>K</t>
    </r>
    <r>
      <rPr>
        <vertAlign val="subscript"/>
        <sz val="10"/>
        <rFont val="Arial"/>
        <family val="2"/>
      </rPr>
      <t xml:space="preserve">a x </t>
    </r>
    <r>
      <rPr>
        <sz val="10"/>
        <rFont val="Arial"/>
        <family val="0"/>
      </rPr>
      <t>y x H</t>
    </r>
    <r>
      <rPr>
        <vertAlign val="superscript"/>
        <sz val="10"/>
        <rFont val="Arial"/>
        <family val="2"/>
      </rPr>
      <t>2</t>
    </r>
  </si>
  <si>
    <t>Between A and B some of bars can be curtailed. Cosider a section at depth below the top of stem</t>
  </si>
  <si>
    <t>h</t>
  </si>
  <si>
    <t>x h )</t>
  </si>
  <si>
    <t>d'</t>
  </si>
  <si>
    <t>Now As</t>
  </si>
  <si>
    <t>Ast</t>
  </si>
  <si>
    <t>H3</t>
  </si>
  <si>
    <t>,,,'(1)</t>
  </si>
  <si>
    <r>
      <t>H</t>
    </r>
    <r>
      <rPr>
        <vertAlign val="subscript"/>
        <sz val="10"/>
        <rFont val="Arial"/>
        <family val="2"/>
      </rPr>
      <t>1</t>
    </r>
  </si>
  <si>
    <t xml:space="preserve">Hence </t>
  </si>
  <si>
    <t>1/3</t>
  </si>
  <si>
    <t>Ast'</t>
  </si>
  <si>
    <t>reinforcement at depth h</t>
  </si>
  <si>
    <t>effective depthat depth h</t>
  </si>
  <si>
    <t>than</t>
  </si>
  <si>
    <t>where</t>
  </si>
  <si>
    <t>Subsituting  d</t>
  </si>
  <si>
    <t>x h</t>
  </si>
  <si>
    <t>x h )  we get</t>
  </si>
  <si>
    <t>mm   and  d'</t>
  </si>
  <si>
    <t>..(3)</t>
  </si>
  <si>
    <t>Put value of h incell F211 Till value of cell R 211 is = zero</t>
  </si>
  <si>
    <t xml:space="preserve">.Howerver, the bars should be extented by a distance of  </t>
  </si>
  <si>
    <t xml:space="preserve">Or d </t>
  </si>
  <si>
    <t>..(4)</t>
  </si>
  <si>
    <t xml:space="preserve">m. Hence curtailed half bars at at height of </t>
  </si>
  <si>
    <t xml:space="preserve">m below the top . If we wish to curtailed half of the remaining bars so that remaining </t>
  </si>
  <si>
    <t>Hence from     ….(2)</t>
  </si>
  <si>
    <t>This can be solved bytrial and error, Noting that if the effective thickness of stem w=are constant,</t>
  </si>
  <si>
    <t>mm whichever is more beyond the point.</t>
  </si>
  <si>
    <t>m. Hence stop half bars the remaining bars</t>
  </si>
  <si>
    <t xml:space="preserve">by </t>
  </si>
  <si>
    <t>Put value of h in cell F 227 Till value of cell R 227 is = zero</t>
  </si>
  <si>
    <r>
      <t>Table</t>
    </r>
    <r>
      <rPr>
        <b/>
        <sz val="11"/>
        <rFont val="Arial"/>
        <family val="2"/>
      </rPr>
      <t xml:space="preserve"> 1.15. </t>
    </r>
    <r>
      <rPr>
        <b/>
        <sz val="10"/>
        <rFont val="Arial"/>
        <family val="2"/>
      </rPr>
      <t xml:space="preserve">  PERMISSIBLE  DIRECT  TENSILE  STRESS</t>
    </r>
  </si>
  <si>
    <r>
      <t xml:space="preserve">Table  3.2.   Facor </t>
    </r>
    <r>
      <rPr>
        <b/>
        <i/>
        <sz val="11"/>
        <rFont val="Arial"/>
        <family val="2"/>
      </rPr>
      <t>k</t>
    </r>
  </si>
  <si>
    <t>Table 1.18.   MODULAR   RATIO</t>
  </si>
  <si>
    <t>Table  2.1.   VALUES  OF  DESIGN  CONSTANTS</t>
  </si>
  <si>
    <t>or use "gol seek" function</t>
  </si>
  <si>
    <t>Check for shear:-</t>
  </si>
  <si>
    <t>Shear force =</t>
  </si>
  <si>
    <t>p =</t>
  </si>
  <si>
    <r>
      <t>100A</t>
    </r>
    <r>
      <rPr>
        <b/>
        <u val="single"/>
        <vertAlign val="subscript"/>
        <sz val="10"/>
        <rFont val="Arial"/>
        <family val="2"/>
      </rPr>
      <t>s</t>
    </r>
  </si>
  <si>
    <t>(see table 3.1)</t>
  </si>
  <si>
    <t>Distribution and temprechure reinforcement:-</t>
  </si>
  <si>
    <t xml:space="preserve">Average thickness of stem </t>
  </si>
  <si>
    <t xml:space="preserve">Distribution reinforcement </t>
  </si>
  <si>
    <t xml:space="preserve">mm c/c </t>
  </si>
  <si>
    <t>at the inner face of wall,along its length</t>
  </si>
  <si>
    <t>Design of shear key:-</t>
  </si>
  <si>
    <t>Pp x a</t>
  </si>
  <si>
    <t xml:space="preserve">        ….(2)</t>
  </si>
  <si>
    <t>Refer force calculation table</t>
  </si>
  <si>
    <t>Hence equilibrium of wall, permitting F.S.</t>
  </si>
  <si>
    <r>
      <t>P</t>
    </r>
    <r>
      <rPr>
        <vertAlign val="subscript"/>
        <sz val="10"/>
        <rFont val="Arial"/>
        <family val="2"/>
      </rPr>
      <t>H</t>
    </r>
  </si>
  <si>
    <t>1.5        against sliding we have</t>
  </si>
  <si>
    <t>However, provided minimum value of a</t>
  </si>
  <si>
    <t xml:space="preserve">mm. Keep width of key </t>
  </si>
  <si>
    <t>mm (equal to stem width)</t>
  </si>
  <si>
    <t>a tan</t>
  </si>
  <si>
    <t>F</t>
  </si>
  <si>
    <t>shearing angle of passive resistance</t>
  </si>
  <si>
    <t xml:space="preserve">Actual length of the slab available </t>
  </si>
  <si>
    <t>DE</t>
  </si>
  <si>
    <t>Hence satisfactory.</t>
  </si>
  <si>
    <t xml:space="preserve">Now size of key </t>
  </si>
  <si>
    <t xml:space="preserve">Actual force to be resisted by the key at F.S. 1.5 is </t>
  </si>
  <si>
    <t xml:space="preserve">Bending stress </t>
  </si>
  <si>
    <t>1/6</t>
  </si>
  <si>
    <t>C/C</t>
  </si>
  <si>
    <t>c/c</t>
  </si>
  <si>
    <r>
      <t xml:space="preserve">mm </t>
    </r>
    <r>
      <rPr>
        <sz val="10"/>
        <rFont val="Symbol"/>
        <family val="1"/>
      </rPr>
      <t>F</t>
    </r>
  </si>
  <si>
    <t>fe</t>
  </si>
  <si>
    <r>
      <t>s</t>
    </r>
    <r>
      <rPr>
        <b/>
        <vertAlign val="subscript"/>
        <sz val="12"/>
        <rFont val="Arial"/>
        <family val="2"/>
      </rPr>
      <t>cbc</t>
    </r>
  </si>
  <si>
    <r>
      <t>s</t>
    </r>
    <r>
      <rPr>
        <b/>
        <vertAlign val="subscript"/>
        <sz val="12"/>
        <rFont val="Arial"/>
        <family val="2"/>
      </rPr>
      <t>st</t>
    </r>
  </si>
  <si>
    <t>toe</t>
  </si>
  <si>
    <t>heel</t>
  </si>
  <si>
    <t>shear force</t>
  </si>
  <si>
    <t>300 or more</t>
  </si>
  <si>
    <t>force(kN)</t>
  </si>
  <si>
    <t>Detail</t>
  </si>
  <si>
    <r>
      <t>s</t>
    </r>
    <r>
      <rPr>
        <b/>
        <vertAlign val="subscript"/>
        <sz val="12"/>
        <rFont val="Arial"/>
        <family val="2"/>
      </rPr>
      <t>st</t>
    </r>
    <r>
      <rPr>
        <b/>
        <sz val="12"/>
        <rFont val="Arial"/>
        <family val="2"/>
      </rPr>
      <t xml:space="preserve">  =</t>
    </r>
  </si>
  <si>
    <r>
      <t>s</t>
    </r>
    <r>
      <rPr>
        <b/>
        <vertAlign val="subscript"/>
        <sz val="12"/>
        <rFont val="Arial"/>
        <family val="2"/>
      </rPr>
      <t>cbc</t>
    </r>
    <r>
      <rPr>
        <b/>
        <sz val="12"/>
        <rFont val="Arial"/>
        <family val="2"/>
      </rPr>
      <t xml:space="preserve"> =</t>
    </r>
  </si>
  <si>
    <t>h =</t>
  </si>
  <si>
    <t>The wall is in unsafe in sliding, and hence shear key will be provided below the stem as shown in fig.</t>
  </si>
  <si>
    <t xml:space="preserve">Distribution </t>
  </si>
  <si>
    <t xml:space="preserve">Tamprecture </t>
  </si>
  <si>
    <t>(where h In meter)</t>
  </si>
  <si>
    <t>consider 1 m length of retaining wall</t>
  </si>
  <si>
    <r>
      <t>Design of Catilever retaing wall with horizontal back fill 18.7 (</t>
    </r>
    <r>
      <rPr>
        <u val="single"/>
        <sz val="10"/>
        <rFont val="Arial"/>
        <family val="2"/>
      </rPr>
      <t>Design example 18.1)</t>
    </r>
  </si>
  <si>
    <t>Heel</t>
  </si>
  <si>
    <t>@ c/c</t>
  </si>
  <si>
    <t xml:space="preserve">Providing </t>
  </si>
  <si>
    <r>
      <t xml:space="preserve">Let us check this reinforcement for development length Ld=45 </t>
    </r>
    <r>
      <rPr>
        <sz val="10"/>
        <rFont val="Symbol"/>
        <family val="1"/>
      </rPr>
      <t xml:space="preserve">F </t>
    </r>
    <r>
      <rPr>
        <sz val="10"/>
        <rFont val="Arial"/>
        <family val="0"/>
      </rPr>
      <t>=</t>
    </r>
  </si>
  <si>
    <t>mm clear side cover actual length available =</t>
  </si>
  <si>
    <r>
      <t>@</t>
    </r>
    <r>
      <rPr>
        <sz val="10"/>
        <rFont val="Arial"/>
        <family val="2"/>
      </rPr>
      <t xml:space="preserve"> c/c</t>
    </r>
  </si>
  <si>
    <t>Rxb</t>
  </si>
  <si>
    <t>BM</t>
  </si>
  <si>
    <t xml:space="preserve">Reinforcement Detail </t>
  </si>
  <si>
    <t>Earth side Face</t>
  </si>
  <si>
    <t>Outer side face</t>
  </si>
  <si>
    <r>
      <t xml:space="preserve">mm </t>
    </r>
    <r>
      <rPr>
        <sz val="9"/>
        <rFont val="Symbol"/>
        <family val="1"/>
      </rPr>
      <t>F</t>
    </r>
  </si>
  <si>
    <t>Main</t>
  </si>
  <si>
    <t>Reinforcement Summary</t>
  </si>
  <si>
    <r>
      <t>STEM</t>
    </r>
    <r>
      <rPr>
        <b/>
        <i/>
        <sz val="12"/>
        <rFont val="Arial"/>
        <family val="2"/>
      </rPr>
      <t>:-</t>
    </r>
  </si>
  <si>
    <r>
      <t>TOE</t>
    </r>
    <r>
      <rPr>
        <b/>
        <i/>
        <sz val="12"/>
        <rFont val="Arial"/>
        <family val="2"/>
      </rPr>
      <t>:-</t>
    </r>
  </si>
  <si>
    <r>
      <t>HEEL</t>
    </r>
    <r>
      <rPr>
        <b/>
        <i/>
        <sz val="12"/>
        <rFont val="Arial"/>
        <family val="2"/>
      </rPr>
      <t>:-</t>
    </r>
  </si>
  <si>
    <t>Top</t>
  </si>
  <si>
    <r>
      <t>Main</t>
    </r>
    <r>
      <rPr>
        <sz val="10"/>
        <rFont val="Arial"/>
        <family val="2"/>
      </rPr>
      <t xml:space="preserve"> (</t>
    </r>
    <r>
      <rPr>
        <sz val="9"/>
        <rFont val="Arial"/>
        <family val="2"/>
      </rPr>
      <t>from top of Retaining wall)</t>
    </r>
  </si>
  <si>
    <t>DESIGN SUMMARY</t>
  </si>
  <si>
    <t>Footing width</t>
  </si>
  <si>
    <t xml:space="preserve">Stem thickness </t>
  </si>
  <si>
    <t xml:space="preserve">At footing </t>
  </si>
  <si>
    <t>At top</t>
  </si>
  <si>
    <t>Heel width</t>
  </si>
  <si>
    <t>Toe width</t>
  </si>
  <si>
    <t>100% Reinforcement upto      m</t>
  </si>
  <si>
    <t>50% Reinforcement upto       m</t>
  </si>
  <si>
    <t>25% Reinforcement upto       m</t>
  </si>
  <si>
    <t>N.S.L.</t>
  </si>
  <si>
    <t>Foundation level</t>
  </si>
  <si>
    <t xml:space="preserve">Effective depth required </t>
  </si>
  <si>
    <r>
      <t>s</t>
    </r>
    <r>
      <rPr>
        <sz val="9"/>
        <rFont val="Arial"/>
        <family val="0"/>
      </rPr>
      <t>st  x j x D</t>
    </r>
  </si>
  <si>
    <r>
      <t>BM x 10</t>
    </r>
    <r>
      <rPr>
        <vertAlign val="superscript"/>
        <sz val="9"/>
        <rFont val="Arial"/>
        <family val="2"/>
      </rPr>
      <t>6</t>
    </r>
  </si>
  <si>
    <t>Earth side</t>
  </si>
  <si>
    <t>Out side</t>
  </si>
  <si>
    <t>DESIGN OF  T  SHAPED CANTILEVER RETAINING WALL    with sloping back fill</t>
  </si>
  <si>
    <t>Based on example 18.9 (RCC design by B.C.Punmia)</t>
  </si>
  <si>
    <t>Surcharge angle</t>
  </si>
  <si>
    <t xml:space="preserve">Founadation depth </t>
  </si>
  <si>
    <t>2.7 y H</t>
  </si>
  <si>
    <r>
      <t>H</t>
    </r>
    <r>
      <rPr>
        <vertAlign val="subscript"/>
        <sz val="10"/>
        <rFont val="Arial"/>
        <family val="2"/>
      </rPr>
      <t>1</t>
    </r>
    <r>
      <rPr>
        <vertAlign val="superscript"/>
        <sz val="10"/>
        <rFont val="Arial"/>
        <family val="2"/>
      </rPr>
      <t>2</t>
    </r>
  </si>
  <si>
    <r>
      <t xml:space="preserve">sin </t>
    </r>
    <r>
      <rPr>
        <sz val="10"/>
        <rFont val="Symbol"/>
        <family val="1"/>
      </rPr>
      <t>b</t>
    </r>
  </si>
  <si>
    <r>
      <t xml:space="preserve">cos </t>
    </r>
    <r>
      <rPr>
        <sz val="10"/>
        <rFont val="Symbol"/>
        <family val="1"/>
      </rPr>
      <t>b</t>
    </r>
  </si>
  <si>
    <r>
      <t>tan</t>
    </r>
    <r>
      <rPr>
        <sz val="10"/>
        <rFont val="Symbol"/>
        <family val="1"/>
      </rPr>
      <t>b</t>
    </r>
  </si>
  <si>
    <t>Value of  angle</t>
  </si>
  <si>
    <t>sin</t>
  </si>
  <si>
    <t xml:space="preserve">cos </t>
  </si>
  <si>
    <t>tan</t>
  </si>
  <si>
    <r>
      <t>10'</t>
    </r>
    <r>
      <rPr>
        <vertAlign val="superscript"/>
        <sz val="10"/>
        <rFont val="Arial"/>
        <family val="2"/>
      </rPr>
      <t>0</t>
    </r>
  </si>
  <si>
    <r>
      <t>15'</t>
    </r>
    <r>
      <rPr>
        <vertAlign val="superscript"/>
        <sz val="10"/>
        <rFont val="Arial"/>
        <family val="2"/>
      </rPr>
      <t>0</t>
    </r>
  </si>
  <si>
    <r>
      <t>16'</t>
    </r>
    <r>
      <rPr>
        <vertAlign val="superscript"/>
        <sz val="10"/>
        <rFont val="Arial"/>
        <family val="2"/>
      </rPr>
      <t>0</t>
    </r>
  </si>
  <si>
    <r>
      <t>17'</t>
    </r>
    <r>
      <rPr>
        <vertAlign val="superscript"/>
        <sz val="10"/>
        <rFont val="Arial"/>
        <family val="2"/>
      </rPr>
      <t>0</t>
    </r>
  </si>
  <si>
    <r>
      <t>18'</t>
    </r>
    <r>
      <rPr>
        <vertAlign val="superscript"/>
        <sz val="10"/>
        <rFont val="Arial"/>
        <family val="2"/>
      </rPr>
      <t>0</t>
    </r>
  </si>
  <si>
    <r>
      <t>19'</t>
    </r>
    <r>
      <rPr>
        <vertAlign val="superscript"/>
        <sz val="10"/>
        <rFont val="Arial"/>
        <family val="2"/>
      </rPr>
      <t>0</t>
    </r>
  </si>
  <si>
    <r>
      <t>20'</t>
    </r>
    <r>
      <rPr>
        <vertAlign val="superscript"/>
        <sz val="10"/>
        <rFont val="Arial"/>
        <family val="2"/>
      </rPr>
      <t>0</t>
    </r>
  </si>
  <si>
    <r>
      <t>21'</t>
    </r>
    <r>
      <rPr>
        <vertAlign val="superscript"/>
        <sz val="10"/>
        <rFont val="Arial"/>
        <family val="2"/>
      </rPr>
      <t>0</t>
    </r>
  </si>
  <si>
    <r>
      <t>22'</t>
    </r>
    <r>
      <rPr>
        <vertAlign val="superscript"/>
        <sz val="10"/>
        <rFont val="Arial"/>
        <family val="2"/>
      </rPr>
      <t>0</t>
    </r>
  </si>
  <si>
    <r>
      <t>23'</t>
    </r>
    <r>
      <rPr>
        <vertAlign val="superscript"/>
        <sz val="10"/>
        <rFont val="Arial"/>
        <family val="2"/>
      </rPr>
      <t>0</t>
    </r>
  </si>
  <si>
    <r>
      <t>24'</t>
    </r>
    <r>
      <rPr>
        <vertAlign val="superscript"/>
        <sz val="10"/>
        <rFont val="Arial"/>
        <family val="2"/>
      </rPr>
      <t>0</t>
    </r>
  </si>
  <si>
    <r>
      <t>25'</t>
    </r>
    <r>
      <rPr>
        <vertAlign val="superscript"/>
        <sz val="10"/>
        <rFont val="Arial"/>
        <family val="2"/>
      </rPr>
      <t>0</t>
    </r>
  </si>
  <si>
    <r>
      <t>35'</t>
    </r>
    <r>
      <rPr>
        <vertAlign val="superscript"/>
        <sz val="10"/>
        <rFont val="Arial"/>
        <family val="2"/>
      </rPr>
      <t>0</t>
    </r>
  </si>
  <si>
    <r>
      <t>40'</t>
    </r>
    <r>
      <rPr>
        <vertAlign val="superscript"/>
        <sz val="10"/>
        <rFont val="Arial"/>
        <family val="2"/>
      </rPr>
      <t>0</t>
    </r>
  </si>
  <si>
    <r>
      <t>45'</t>
    </r>
    <r>
      <rPr>
        <vertAlign val="superscript"/>
        <sz val="10"/>
        <rFont val="Arial"/>
        <family val="2"/>
      </rPr>
      <t>0</t>
    </r>
  </si>
  <si>
    <r>
      <t>50'</t>
    </r>
    <r>
      <rPr>
        <vertAlign val="superscript"/>
        <sz val="10"/>
        <rFont val="Arial"/>
        <family val="2"/>
      </rPr>
      <t>0</t>
    </r>
  </si>
  <si>
    <r>
      <t>55'</t>
    </r>
    <r>
      <rPr>
        <vertAlign val="superscript"/>
        <sz val="10"/>
        <rFont val="Arial"/>
        <family val="2"/>
      </rPr>
      <t>0</t>
    </r>
  </si>
  <si>
    <r>
      <t>60'</t>
    </r>
    <r>
      <rPr>
        <vertAlign val="superscript"/>
        <sz val="10"/>
        <rFont val="Arial"/>
        <family val="2"/>
      </rPr>
      <t>0</t>
    </r>
  </si>
  <si>
    <r>
      <t>65'</t>
    </r>
    <r>
      <rPr>
        <vertAlign val="superscript"/>
        <sz val="10"/>
        <rFont val="Arial"/>
        <family val="2"/>
      </rPr>
      <t>0</t>
    </r>
  </si>
  <si>
    <r>
      <t>Sin</t>
    </r>
    <r>
      <rPr>
        <sz val="10"/>
        <rFont val="Symbol"/>
        <family val="1"/>
      </rPr>
      <t xml:space="preserve"> F</t>
    </r>
  </si>
  <si>
    <r>
      <t>Cos</t>
    </r>
    <r>
      <rPr>
        <sz val="10"/>
        <rFont val="Symbol"/>
        <family val="1"/>
      </rPr>
      <t xml:space="preserve"> F</t>
    </r>
  </si>
  <si>
    <t xml:space="preserve">Ka </t>
  </si>
  <si>
    <r>
      <t>cos b -   cos</t>
    </r>
    <r>
      <rPr>
        <u val="single"/>
        <vertAlign val="superscript"/>
        <sz val="10"/>
        <rFont val="Arial"/>
        <family val="2"/>
      </rPr>
      <t>2</t>
    </r>
    <r>
      <rPr>
        <u val="single"/>
        <sz val="10"/>
        <rFont val="Arial"/>
        <family val="0"/>
      </rPr>
      <t xml:space="preserve"> </t>
    </r>
    <r>
      <rPr>
        <u val="single"/>
        <sz val="10"/>
        <rFont val="Symbol"/>
        <family val="1"/>
      </rPr>
      <t>b</t>
    </r>
    <r>
      <rPr>
        <u val="single"/>
        <sz val="10"/>
        <rFont val="Arial"/>
        <family val="0"/>
      </rPr>
      <t xml:space="preserve"> -cos</t>
    </r>
    <r>
      <rPr>
        <u val="single"/>
        <vertAlign val="superscript"/>
        <sz val="10"/>
        <rFont val="Arial"/>
        <family val="2"/>
      </rPr>
      <t>2</t>
    </r>
    <r>
      <rPr>
        <u val="single"/>
        <sz val="10"/>
        <rFont val="Arial"/>
        <family val="0"/>
      </rPr>
      <t xml:space="preserve"> </t>
    </r>
    <r>
      <rPr>
        <u val="single"/>
        <sz val="10"/>
        <rFont val="Symbol"/>
        <family val="1"/>
      </rPr>
      <t>f</t>
    </r>
  </si>
  <si>
    <r>
      <t>cos b +  cos</t>
    </r>
    <r>
      <rPr>
        <vertAlign val="superscript"/>
        <sz val="10"/>
        <rFont val="Arial"/>
        <family val="2"/>
      </rPr>
      <t>2</t>
    </r>
    <r>
      <rPr>
        <sz val="10"/>
        <rFont val="Symbol"/>
        <family val="1"/>
      </rPr>
      <t xml:space="preserve"> b</t>
    </r>
    <r>
      <rPr>
        <sz val="10"/>
        <rFont val="Arial"/>
        <family val="0"/>
      </rPr>
      <t xml:space="preserve"> - cos</t>
    </r>
    <r>
      <rPr>
        <vertAlign val="superscript"/>
        <sz val="10"/>
        <rFont val="Arial"/>
        <family val="2"/>
      </rPr>
      <t>2</t>
    </r>
    <r>
      <rPr>
        <sz val="10"/>
        <rFont val="Arial"/>
        <family val="0"/>
      </rPr>
      <t xml:space="preserve"> </t>
    </r>
    <r>
      <rPr>
        <sz val="10"/>
        <rFont val="Symbol"/>
        <family val="1"/>
      </rPr>
      <t>f</t>
    </r>
  </si>
  <si>
    <r>
      <t xml:space="preserve"> For surcharge wall, The ratio of length of slabe (</t>
    </r>
    <r>
      <rPr>
        <i/>
        <sz val="10"/>
        <rFont val="Arial"/>
        <family val="2"/>
      </rPr>
      <t>DE)</t>
    </r>
    <r>
      <rPr>
        <sz val="10"/>
        <rFont val="Arial"/>
        <family val="0"/>
      </rPr>
      <t xml:space="preserve"> to base width </t>
    </r>
    <r>
      <rPr>
        <i/>
        <sz val="10"/>
        <rFont val="Arial"/>
        <family val="2"/>
      </rPr>
      <t xml:space="preserve"> b</t>
    </r>
    <r>
      <rPr>
        <sz val="10"/>
        <rFont val="Arial"/>
        <family val="0"/>
      </rPr>
      <t xml:space="preserve"> is given by eq.</t>
    </r>
  </si>
  <si>
    <r>
      <t>K</t>
    </r>
    <r>
      <rPr>
        <vertAlign val="subscript"/>
        <sz val="10"/>
        <rFont val="Arial"/>
        <family val="2"/>
      </rPr>
      <t>a</t>
    </r>
    <r>
      <rPr>
        <sz val="10"/>
        <rFont val="Arial"/>
        <family val="2"/>
      </rPr>
      <t xml:space="preserve"> cos </t>
    </r>
    <r>
      <rPr>
        <sz val="10"/>
        <rFont val="Symbol"/>
        <family val="1"/>
      </rPr>
      <t>b</t>
    </r>
  </si>
  <si>
    <r>
      <t xml:space="preserve">(1- </t>
    </r>
    <r>
      <rPr>
        <sz val="10"/>
        <rFont val="Symbol"/>
        <family val="1"/>
      </rPr>
      <t>a</t>
    </r>
    <r>
      <rPr>
        <sz val="10"/>
        <rFont val="Arial"/>
        <family val="0"/>
      </rPr>
      <t xml:space="preserve">) x (1+3 </t>
    </r>
    <r>
      <rPr>
        <sz val="10"/>
        <rFont val="Symbol"/>
        <family val="1"/>
      </rPr>
      <t>a</t>
    </r>
    <r>
      <rPr>
        <sz val="10"/>
        <rFont val="Arial"/>
        <family val="0"/>
      </rPr>
      <t>)</t>
    </r>
  </si>
  <si>
    <t xml:space="preserve"> H</t>
  </si>
  <si>
    <t>The base width  is given by Eq.</t>
  </si>
  <si>
    <r>
      <t>Hence the horizontal earth pressure is P</t>
    </r>
    <r>
      <rPr>
        <vertAlign val="subscript"/>
        <sz val="10"/>
        <rFont val="Arial"/>
        <family val="2"/>
      </rPr>
      <t>H</t>
    </r>
    <r>
      <rPr>
        <sz val="10"/>
        <rFont val="Arial"/>
        <family val="2"/>
      </rPr>
      <t>=</t>
    </r>
  </si>
  <si>
    <r>
      <t xml:space="preserve">P cos </t>
    </r>
    <r>
      <rPr>
        <sz val="10"/>
        <rFont val="Symbol"/>
        <family val="1"/>
      </rPr>
      <t>b</t>
    </r>
  </si>
  <si>
    <t>B.M. at B</t>
  </si>
  <si>
    <r>
      <t>t</t>
    </r>
    <r>
      <rPr>
        <i/>
        <vertAlign val="subscript"/>
        <sz val="10"/>
        <rFont val="Arial"/>
        <family val="2"/>
      </rPr>
      <t>v</t>
    </r>
  </si>
  <si>
    <t>tc even at mimum steel</t>
  </si>
  <si>
    <t>Length of heel slab</t>
  </si>
  <si>
    <t>Height  H</t>
  </si>
  <si>
    <t>Its horizontal and vertical component are</t>
  </si>
  <si>
    <r>
      <t>P</t>
    </r>
    <r>
      <rPr>
        <i/>
        <vertAlign val="subscript"/>
        <sz val="10"/>
        <rFont val="Arial"/>
        <family val="2"/>
      </rPr>
      <t>H</t>
    </r>
  </si>
  <si>
    <r>
      <t>P</t>
    </r>
    <r>
      <rPr>
        <i/>
        <vertAlign val="subscript"/>
        <sz val="10"/>
        <rFont val="Arial"/>
        <family val="2"/>
      </rPr>
      <t>V</t>
    </r>
  </si>
  <si>
    <r>
      <t>P sin</t>
    </r>
    <r>
      <rPr>
        <sz val="10"/>
        <rFont val="Symbol"/>
        <family val="1"/>
      </rPr>
      <t xml:space="preserve"> b</t>
    </r>
  </si>
  <si>
    <t>P is acting on vertical face IG, at H/3 and hence Pv , will act the vertical line</t>
  </si>
  <si>
    <r>
      <t>w</t>
    </r>
    <r>
      <rPr>
        <vertAlign val="subscript"/>
        <sz val="10"/>
        <rFont val="Arial"/>
        <family val="2"/>
      </rPr>
      <t>5</t>
    </r>
  </si>
  <si>
    <r>
      <t>P</t>
    </r>
    <r>
      <rPr>
        <vertAlign val="subscript"/>
        <sz val="10"/>
        <rFont val="Arial"/>
        <family val="2"/>
      </rPr>
      <t>v</t>
    </r>
  </si>
  <si>
    <t xml:space="preserve">F.S. against Sliding </t>
  </si>
  <si>
    <r>
      <t>mS</t>
    </r>
    <r>
      <rPr>
        <sz val="10"/>
        <rFont val="Arial"/>
        <family val="0"/>
      </rPr>
      <t>w</t>
    </r>
  </si>
  <si>
    <t>Earth pressure p=</t>
  </si>
  <si>
    <r>
      <t>And at under</t>
    </r>
    <r>
      <rPr>
        <i/>
        <sz val="10"/>
        <rFont val="Arial"/>
        <family val="2"/>
      </rPr>
      <t xml:space="preserve"> E</t>
    </r>
    <r>
      <rPr>
        <sz val="10"/>
        <rFont val="Arial"/>
        <family val="0"/>
      </rPr>
      <t xml:space="preserve"> </t>
    </r>
  </si>
  <si>
    <t xml:space="preserve">Total force = </t>
  </si>
  <si>
    <t xml:space="preserve">S.F. at E </t>
  </si>
  <si>
    <t>(see step 7)</t>
  </si>
  <si>
    <t>p'</t>
  </si>
  <si>
    <t>Pressure p' at the junction of stem with Heel slab is</t>
  </si>
  <si>
    <r>
      <t xml:space="preserve">m from  </t>
    </r>
    <r>
      <rPr>
        <i/>
        <sz val="10"/>
        <rFont val="Arial"/>
        <family val="0"/>
      </rPr>
      <t>B</t>
    </r>
  </si>
  <si>
    <r>
      <t>Height H</t>
    </r>
    <r>
      <rPr>
        <b/>
        <vertAlign val="subscript"/>
        <sz val="10"/>
        <rFont val="Arial"/>
        <family val="2"/>
      </rPr>
      <t>2</t>
    </r>
    <r>
      <rPr>
        <sz val="10"/>
        <rFont val="Arial"/>
        <family val="2"/>
      </rPr>
      <t>= H</t>
    </r>
    <r>
      <rPr>
        <vertAlign val="subscript"/>
        <sz val="10"/>
        <rFont val="Arial"/>
        <family val="2"/>
      </rPr>
      <t>1</t>
    </r>
    <r>
      <rPr>
        <sz val="10"/>
        <rFont val="Arial"/>
        <family val="2"/>
      </rPr>
      <t>+L</t>
    </r>
    <r>
      <rPr>
        <vertAlign val="subscript"/>
        <sz val="10"/>
        <rFont val="Arial"/>
        <family val="2"/>
      </rPr>
      <t>s</t>
    </r>
    <r>
      <rPr>
        <sz val="10"/>
        <rFont val="Arial"/>
        <family val="2"/>
      </rPr>
      <t xml:space="preserve"> tan </t>
    </r>
    <r>
      <rPr>
        <sz val="10"/>
        <rFont val="Symbol"/>
        <family val="1"/>
      </rPr>
      <t>b</t>
    </r>
  </si>
  <si>
    <t>m from  B</t>
  </si>
  <si>
    <t xml:space="preserve">1. down ward weight of soil </t>
  </si>
  <si>
    <t>Down ward earth pressure</t>
  </si>
  <si>
    <t xml:space="preserve">  2 weight of heel slab</t>
  </si>
  <si>
    <t>Total weight of soil over Heel</t>
  </si>
  <si>
    <t xml:space="preserve">\ </t>
  </si>
  <si>
    <t>….(II)</t>
  </si>
  <si>
    <t>….(I)</t>
  </si>
  <si>
    <r>
      <t>Earth pressure intencity at b = Ka.y.H</t>
    </r>
    <r>
      <rPr>
        <vertAlign val="subscript"/>
        <sz val="10"/>
        <rFont val="Arial"/>
        <family val="2"/>
      </rPr>
      <t>1</t>
    </r>
    <r>
      <rPr>
        <sz val="10"/>
        <rFont val="Arial"/>
        <family val="0"/>
      </rPr>
      <t xml:space="preserve"> per unit inclined area, at </t>
    </r>
    <r>
      <rPr>
        <sz val="10"/>
        <rFont val="Symbol"/>
        <family val="1"/>
      </rPr>
      <t>b</t>
    </r>
    <r>
      <rPr>
        <sz val="10"/>
        <rFont val="Arial"/>
        <family val="0"/>
      </rPr>
      <t xml:space="preserve"> to horizontal,</t>
    </r>
  </si>
  <si>
    <r>
      <t xml:space="preserve"> Earth pressure at B, on horizontal unitarea = Ka.y.H</t>
    </r>
    <r>
      <rPr>
        <vertAlign val="subscript"/>
        <sz val="10"/>
        <rFont val="Arial"/>
        <family val="2"/>
      </rPr>
      <t>1</t>
    </r>
    <r>
      <rPr>
        <sz val="10"/>
        <rFont val="Arial"/>
        <family val="2"/>
      </rPr>
      <t xml:space="preserve">.tan </t>
    </r>
    <r>
      <rPr>
        <sz val="10"/>
        <rFont val="Symbol"/>
        <family val="1"/>
      </rPr>
      <t>b</t>
    </r>
  </si>
  <si>
    <r>
      <t>Vertical component of this, at B = Ka.y.H</t>
    </r>
    <r>
      <rPr>
        <vertAlign val="subscript"/>
        <sz val="10"/>
        <rFont val="Arial"/>
        <family val="2"/>
      </rPr>
      <t>1</t>
    </r>
    <r>
      <rPr>
        <sz val="10"/>
        <rFont val="Arial"/>
        <family val="2"/>
      </rPr>
      <t xml:space="preserve"> .tan </t>
    </r>
    <r>
      <rPr>
        <sz val="10"/>
        <rFont val="Symbol"/>
        <family val="1"/>
      </rPr>
      <t>b</t>
    </r>
    <r>
      <rPr>
        <sz val="10"/>
        <rFont val="Arial"/>
        <family val="2"/>
      </rPr>
      <t xml:space="preserve">.sin </t>
    </r>
    <r>
      <rPr>
        <sz val="10"/>
        <rFont val="Symbol"/>
        <family val="1"/>
      </rPr>
      <t>b</t>
    </r>
  </si>
  <si>
    <r>
      <t>Similarly, Vertical component of earth pressure intencity at C =Ka.y.H</t>
    </r>
    <r>
      <rPr>
        <vertAlign val="subscript"/>
        <sz val="10"/>
        <rFont val="Arial"/>
        <family val="2"/>
      </rPr>
      <t>2</t>
    </r>
    <r>
      <rPr>
        <sz val="10"/>
        <rFont val="Arial"/>
        <family val="0"/>
      </rPr>
      <t xml:space="preserve"> tan </t>
    </r>
    <r>
      <rPr>
        <sz val="10"/>
        <rFont val="Symbol"/>
        <family val="1"/>
      </rPr>
      <t>b</t>
    </r>
    <r>
      <rPr>
        <sz val="10"/>
        <rFont val="Arial"/>
        <family val="0"/>
      </rPr>
      <t xml:space="preserve">. sin </t>
    </r>
    <r>
      <rPr>
        <sz val="10"/>
        <rFont val="Symbol"/>
        <family val="1"/>
      </rPr>
      <t>b</t>
    </r>
    <r>
      <rPr>
        <sz val="10"/>
        <rFont val="Arial"/>
        <family val="0"/>
      </rPr>
      <t>.</t>
    </r>
  </si>
  <si>
    <t>Hence total force due to vertical component of earth pressure is</t>
  </si>
  <si>
    <t>Ka.y</t>
  </si>
  <si>
    <t xml:space="preserve">This Act at </t>
  </si>
  <si>
    <r>
      <t>(H</t>
    </r>
    <r>
      <rPr>
        <vertAlign val="subscript"/>
        <sz val="9"/>
        <rFont val="Arial"/>
        <family val="2"/>
      </rPr>
      <t>1</t>
    </r>
    <r>
      <rPr>
        <sz val="9"/>
        <rFont val="Arial"/>
        <family val="0"/>
      </rPr>
      <t>+2xH</t>
    </r>
    <r>
      <rPr>
        <vertAlign val="subscript"/>
        <sz val="9"/>
        <rFont val="Arial"/>
        <family val="2"/>
      </rPr>
      <t>2</t>
    </r>
    <r>
      <rPr>
        <sz val="9"/>
        <rFont val="Arial"/>
        <family val="2"/>
      </rPr>
      <t>)</t>
    </r>
    <r>
      <rPr>
        <sz val="9"/>
        <rFont val="Arial"/>
        <family val="0"/>
      </rPr>
      <t>xb</t>
    </r>
  </si>
  <si>
    <r>
      <t>(H</t>
    </r>
    <r>
      <rPr>
        <vertAlign val="subscript"/>
        <sz val="10"/>
        <rFont val="Arial"/>
        <family val="2"/>
      </rPr>
      <t>1</t>
    </r>
    <r>
      <rPr>
        <sz val="10"/>
        <rFont val="Arial"/>
        <family val="0"/>
      </rPr>
      <t>+H</t>
    </r>
    <r>
      <rPr>
        <vertAlign val="subscript"/>
        <sz val="10"/>
        <rFont val="Arial"/>
        <family val="2"/>
      </rPr>
      <t>2</t>
    </r>
    <r>
      <rPr>
        <sz val="10"/>
        <rFont val="Arial"/>
        <family val="0"/>
      </rPr>
      <t>)x3</t>
    </r>
  </si>
  <si>
    <r>
      <t>b</t>
    </r>
    <r>
      <rPr>
        <vertAlign val="subscript"/>
        <sz val="10"/>
        <rFont val="Arial"/>
        <family val="2"/>
      </rPr>
      <t>1</t>
    </r>
    <r>
      <rPr>
        <sz val="10"/>
        <rFont val="Arial"/>
        <family val="0"/>
      </rPr>
      <t xml:space="preserve"> tan </t>
    </r>
    <r>
      <rPr>
        <sz val="10"/>
        <rFont val="Symbol"/>
        <family val="1"/>
      </rPr>
      <t>b</t>
    </r>
    <r>
      <rPr>
        <sz val="10"/>
        <rFont val="Arial"/>
        <family val="0"/>
      </rPr>
      <t xml:space="preserve"> x sin </t>
    </r>
    <r>
      <rPr>
        <sz val="10"/>
        <rFont val="Symbol"/>
        <family val="1"/>
      </rPr>
      <t>b</t>
    </r>
  </si>
  <si>
    <t>\          B.M. at B</t>
  </si>
  <si>
    <r>
      <t xml:space="preserve">S.F. at </t>
    </r>
    <r>
      <rPr>
        <i/>
        <sz val="11"/>
        <rFont val="Arial"/>
        <family val="2"/>
      </rPr>
      <t>B</t>
    </r>
  </si>
  <si>
    <r>
      <t>10'</t>
    </r>
    <r>
      <rPr>
        <vertAlign val="superscript"/>
        <sz val="10"/>
        <rFont val="Arial"/>
        <family val="2"/>
      </rPr>
      <t>6</t>
    </r>
  </si>
  <si>
    <r>
      <t>N-mm</t>
    </r>
    <r>
      <rPr>
        <vertAlign val="superscript"/>
        <sz val="11"/>
        <rFont val="Arial"/>
        <family val="2"/>
      </rPr>
      <t>2</t>
    </r>
  </si>
  <si>
    <r>
      <t>(H</t>
    </r>
    <r>
      <rPr>
        <vertAlign val="subscript"/>
        <sz val="10"/>
        <rFont val="Arial"/>
        <family val="2"/>
      </rPr>
      <t>1</t>
    </r>
    <r>
      <rPr>
        <sz val="10"/>
        <rFont val="Arial"/>
        <family val="0"/>
      </rPr>
      <t>+H</t>
    </r>
    <r>
      <rPr>
        <vertAlign val="subscript"/>
        <sz val="10"/>
        <rFont val="Arial"/>
        <family val="2"/>
      </rPr>
      <t>2</t>
    </r>
    <r>
      <rPr>
        <sz val="10"/>
        <rFont val="Arial"/>
        <family val="0"/>
      </rPr>
      <t>)</t>
    </r>
  </si>
  <si>
    <t>vertical  earth pressure is</t>
  </si>
  <si>
    <t>mm, reducing it to</t>
  </si>
  <si>
    <t>mm at edge</t>
  </si>
  <si>
    <t>mm  and D</t>
  </si>
  <si>
    <t xml:space="preserve"> d=</t>
  </si>
  <si>
    <t>This is much lessthan the B.M. on slab. However, we keep the same depth, as that toe slab,i.e.</t>
  </si>
  <si>
    <t>hook</t>
  </si>
  <si>
    <r>
      <t>t</t>
    </r>
    <r>
      <rPr>
        <vertAlign val="subscript"/>
        <sz val="10"/>
        <color indexed="10"/>
        <rFont val="Arial"/>
        <family val="2"/>
      </rPr>
      <t>c</t>
    </r>
    <r>
      <rPr>
        <sz val="10"/>
        <color indexed="10"/>
        <rFont val="Arial"/>
        <family val="0"/>
      </rPr>
      <t xml:space="preserve">   even at mimum steel</t>
    </r>
  </si>
  <si>
    <r>
      <t>s</t>
    </r>
    <r>
      <rPr>
        <sz val="9"/>
        <rFont val="Arial"/>
        <family val="0"/>
      </rPr>
      <t>st x j x D</t>
    </r>
  </si>
  <si>
    <r>
      <t>t</t>
    </r>
    <r>
      <rPr>
        <vertAlign val="subscript"/>
        <sz val="10"/>
        <rFont val="Arial"/>
        <family val="2"/>
      </rPr>
      <t>c</t>
    </r>
    <r>
      <rPr>
        <sz val="10"/>
        <rFont val="Arial"/>
        <family val="0"/>
      </rPr>
      <t xml:space="preserve">   even at mimum steel</t>
    </r>
  </si>
  <si>
    <r>
      <t xml:space="preserve">mm </t>
    </r>
    <r>
      <rPr>
        <sz val="10"/>
        <rFont val="Symbol"/>
        <family val="1"/>
      </rPr>
      <t>F</t>
    </r>
    <r>
      <rPr>
        <sz val="10"/>
        <rFont val="Arial"/>
        <family val="0"/>
      </rPr>
      <t xml:space="preserve"> bars, Area </t>
    </r>
  </si>
  <si>
    <t xml:space="preserve">If tc &gt; tvhence safe </t>
  </si>
  <si>
    <t xml:space="preserve">here </t>
  </si>
  <si>
    <r>
      <t xml:space="preserve">mm </t>
    </r>
    <r>
      <rPr>
        <sz val="10"/>
        <rFont val="Symbol"/>
        <family val="1"/>
      </rPr>
      <t>F</t>
    </r>
    <r>
      <rPr>
        <sz val="10"/>
        <rFont val="Arial"/>
        <family val="2"/>
      </rPr>
      <t xml:space="preserve"> at Bottom </t>
    </r>
  </si>
  <si>
    <r>
      <t xml:space="preserve">Shear stress </t>
    </r>
    <r>
      <rPr>
        <i/>
        <sz val="10"/>
        <rFont val="Arial"/>
        <family val="2"/>
      </rPr>
      <t>t</t>
    </r>
    <r>
      <rPr>
        <vertAlign val="subscript"/>
        <sz val="10"/>
        <rFont val="Arial"/>
        <family val="2"/>
      </rPr>
      <t>v</t>
    </r>
  </si>
  <si>
    <r>
      <t>steel provided</t>
    </r>
    <r>
      <rPr>
        <i/>
        <sz val="10"/>
        <rFont val="Arial"/>
        <family val="2"/>
      </rPr>
      <t xml:space="preserve"> t</t>
    </r>
    <r>
      <rPr>
        <vertAlign val="subscript"/>
        <sz val="10"/>
        <rFont val="Arial"/>
        <family val="2"/>
      </rPr>
      <t>c</t>
    </r>
  </si>
  <si>
    <r>
      <t xml:space="preserve">mm to the left of </t>
    </r>
    <r>
      <rPr>
        <i/>
        <sz val="10"/>
        <rFont val="Arial"/>
        <family val="2"/>
      </rPr>
      <t xml:space="preserve">B and end should </t>
    </r>
  </si>
  <si>
    <t>ka.y</t>
  </si>
  <si>
    <t>S.F.</t>
  </si>
  <si>
    <t>Bend these bars into toe slab, to serve as reiforcement there. Sufficient devlopment length ia available.</t>
  </si>
  <si>
    <r>
      <t>Hence revised H</t>
    </r>
    <r>
      <rPr>
        <vertAlign val="subscript"/>
        <sz val="11"/>
        <rFont val="Arial"/>
        <family val="2"/>
      </rPr>
      <t>1</t>
    </r>
    <r>
      <rPr>
        <sz val="11"/>
        <rFont val="Arial"/>
        <family val="2"/>
      </rPr>
      <t xml:space="preserve">= </t>
    </r>
  </si>
  <si>
    <r>
      <t xml:space="preserve">S.F at B = pcos </t>
    </r>
    <r>
      <rPr>
        <sz val="10"/>
        <rFont val="Symbol"/>
        <family val="1"/>
      </rPr>
      <t>b</t>
    </r>
    <r>
      <rPr>
        <sz val="10"/>
        <rFont val="Arial"/>
        <family val="0"/>
      </rPr>
      <t xml:space="preserve"> =</t>
    </r>
  </si>
  <si>
    <r>
      <t>)</t>
    </r>
    <r>
      <rPr>
        <vertAlign val="superscript"/>
        <sz val="10"/>
        <rFont val="Arial"/>
        <family val="2"/>
      </rPr>
      <t>2</t>
    </r>
    <r>
      <rPr>
        <sz val="10"/>
        <rFont val="Arial"/>
        <family val="2"/>
      </rPr>
      <t>=</t>
    </r>
  </si>
  <si>
    <r>
      <t>P</t>
    </r>
    <r>
      <rPr>
        <vertAlign val="subscript"/>
        <sz val="11"/>
        <rFont val="Arial"/>
        <family val="2"/>
      </rPr>
      <t>H</t>
    </r>
  </si>
  <si>
    <r>
      <t>BMx100/</t>
    </r>
    <r>
      <rPr>
        <sz val="9"/>
        <rFont val="Symbol"/>
        <family val="1"/>
      </rPr>
      <t>s</t>
    </r>
    <r>
      <rPr>
        <sz val="9"/>
        <rFont val="Arial"/>
        <family val="2"/>
      </rPr>
      <t>stxjxD=</t>
    </r>
  </si>
  <si>
    <r>
      <t>Actual A</t>
    </r>
    <r>
      <rPr>
        <vertAlign val="subscript"/>
        <sz val="10"/>
        <rFont val="Arial"/>
        <family val="2"/>
      </rPr>
      <t xml:space="preserve">S </t>
    </r>
    <r>
      <rPr>
        <sz val="10"/>
        <rFont val="Arial"/>
        <family val="2"/>
      </rPr>
      <t>provided</t>
    </r>
  </si>
  <si>
    <t xml:space="preserve">Howerver, the bars should be extented by a distance of  </t>
  </si>
  <si>
    <r>
      <t xml:space="preserve"> The effective depth </t>
    </r>
    <r>
      <rPr>
        <i/>
        <sz val="9"/>
        <rFont val="Arial"/>
        <family val="0"/>
      </rPr>
      <t>d'</t>
    </r>
    <r>
      <rPr>
        <sz val="9"/>
        <rFont val="Arial"/>
        <family val="0"/>
      </rPr>
      <t xml:space="preserve"> at section is =</t>
    </r>
  </si>
  <si>
    <r>
      <t>A</t>
    </r>
    <r>
      <rPr>
        <vertAlign val="subscript"/>
        <sz val="10"/>
        <rFont val="Arial"/>
        <family val="2"/>
      </rPr>
      <t>st</t>
    </r>
  </si>
  <si>
    <r>
      <t>A</t>
    </r>
    <r>
      <rPr>
        <vertAlign val="subscript"/>
        <sz val="10"/>
        <rFont val="Arial"/>
        <family val="2"/>
      </rPr>
      <t xml:space="preserve">st </t>
    </r>
    <r>
      <rPr>
        <sz val="10"/>
        <rFont val="Arial"/>
        <family val="0"/>
      </rPr>
      <t>d</t>
    </r>
  </si>
  <si>
    <r>
      <t>)</t>
    </r>
    <r>
      <rPr>
        <vertAlign val="superscript"/>
        <sz val="10"/>
        <rFont val="Arial"/>
        <family val="2"/>
      </rPr>
      <t>1/3</t>
    </r>
  </si>
  <si>
    <r>
      <t>A</t>
    </r>
    <r>
      <rPr>
        <vertAlign val="subscript"/>
        <sz val="10"/>
        <rFont val="Arial"/>
        <family val="2"/>
      </rPr>
      <t>st</t>
    </r>
    <r>
      <rPr>
        <sz val="10"/>
        <rFont val="Arial"/>
        <family val="2"/>
      </rPr>
      <t>'</t>
    </r>
    <r>
      <rPr>
        <sz val="10"/>
        <rFont val="Arial"/>
        <family val="0"/>
      </rPr>
      <t xml:space="preserve"> d'</t>
    </r>
  </si>
  <si>
    <r>
      <t>reinforcement at depth H</t>
    </r>
    <r>
      <rPr>
        <vertAlign val="subscript"/>
        <sz val="10"/>
        <rFont val="Arial"/>
        <family val="2"/>
      </rPr>
      <t>1</t>
    </r>
  </si>
  <si>
    <r>
      <t>effective depthat depth H</t>
    </r>
    <r>
      <rPr>
        <vertAlign val="subscript"/>
        <sz val="10"/>
        <rFont val="Arial"/>
        <family val="2"/>
      </rPr>
      <t>1</t>
    </r>
  </si>
  <si>
    <r>
      <t>if A</t>
    </r>
    <r>
      <rPr>
        <vertAlign val="subscript"/>
        <sz val="10"/>
        <rFont val="Arial"/>
        <family val="2"/>
      </rPr>
      <t>st</t>
    </r>
  </si>
  <si>
    <r>
      <t>1/2 A</t>
    </r>
    <r>
      <rPr>
        <vertAlign val="subscript"/>
        <sz val="10"/>
        <rFont val="Arial"/>
        <family val="2"/>
      </rPr>
      <t>st</t>
    </r>
  </si>
  <si>
    <r>
      <t>A</t>
    </r>
    <r>
      <rPr>
        <vertAlign val="subscript"/>
        <sz val="10"/>
        <rFont val="Arial"/>
        <family val="2"/>
      </rPr>
      <t>st</t>
    </r>
    <r>
      <rPr>
        <sz val="10"/>
        <rFont val="Arial"/>
        <family val="0"/>
      </rPr>
      <t>'</t>
    </r>
  </si>
  <si>
    <r>
      <t>H</t>
    </r>
    <r>
      <rPr>
        <vertAlign val="subscript"/>
        <sz val="10"/>
        <rFont val="Arial"/>
        <family val="2"/>
      </rPr>
      <t>1</t>
    </r>
    <r>
      <rPr>
        <sz val="10"/>
        <rFont val="Arial"/>
        <family val="2"/>
      </rPr>
      <t xml:space="preserve">  </t>
    </r>
  </si>
  <si>
    <r>
      <t>)</t>
    </r>
    <r>
      <rPr>
        <vertAlign val="superscript"/>
        <sz val="11"/>
        <rFont val="Arial"/>
        <family val="2"/>
      </rPr>
      <t>1/3</t>
    </r>
  </si>
  <si>
    <r>
      <t>h)</t>
    </r>
    <r>
      <rPr>
        <vertAlign val="superscript"/>
        <sz val="10"/>
        <rFont val="Arial"/>
        <family val="2"/>
      </rPr>
      <t xml:space="preserve"> 1/3</t>
    </r>
    <r>
      <rPr>
        <sz val="10"/>
        <rFont val="Arial"/>
        <family val="0"/>
      </rPr>
      <t>- h =</t>
    </r>
  </si>
  <si>
    <r>
      <t xml:space="preserve">12 </t>
    </r>
    <r>
      <rPr>
        <sz val="10"/>
        <rFont val="Symbol"/>
        <family val="1"/>
      </rPr>
      <t>F</t>
    </r>
  </si>
  <si>
    <r>
      <t xml:space="preserve">remaining reinforcement is one forth of that provided ar </t>
    </r>
    <r>
      <rPr>
        <i/>
        <sz val="10"/>
        <rFont val="Arial"/>
        <family val="2"/>
      </rPr>
      <t>B</t>
    </r>
    <r>
      <rPr>
        <sz val="10"/>
        <rFont val="Arial"/>
        <family val="0"/>
      </rPr>
      <t xml:space="preserve">, we have </t>
    </r>
  </si>
  <si>
    <r>
      <t>\</t>
    </r>
    <r>
      <rPr>
        <sz val="10"/>
        <rFont val="Arial"/>
        <family val="0"/>
      </rPr>
      <t xml:space="preserve">   h</t>
    </r>
  </si>
  <si>
    <r>
      <t xml:space="preserve">h) </t>
    </r>
    <r>
      <rPr>
        <vertAlign val="superscript"/>
        <sz val="10"/>
        <rFont val="Arial"/>
        <family val="2"/>
      </rPr>
      <t>1/3</t>
    </r>
    <r>
      <rPr>
        <sz val="10"/>
        <rFont val="Arial"/>
        <family val="0"/>
      </rPr>
      <t>- h =</t>
    </r>
  </si>
  <si>
    <t xml:space="preserve">m below the top of the stem . Continue rest of the bars to the top of the stem </t>
  </si>
  <si>
    <r>
      <t>kayH</t>
    </r>
    <r>
      <rPr>
        <i/>
        <vertAlign val="superscript"/>
        <sz val="10"/>
        <rFont val="Arial"/>
        <family val="2"/>
      </rPr>
      <t>2</t>
    </r>
    <r>
      <rPr>
        <i/>
        <sz val="10"/>
        <rFont val="Arial"/>
        <family val="2"/>
      </rPr>
      <t xml:space="preserve"> </t>
    </r>
  </si>
  <si>
    <r>
      <t>2</t>
    </r>
    <r>
      <rPr>
        <sz val="10"/>
        <rFont val="Arial"/>
        <family val="2"/>
      </rPr>
      <t>=</t>
    </r>
  </si>
  <si>
    <r>
      <t>t</t>
    </r>
    <r>
      <rPr>
        <vertAlign val="subscript"/>
        <sz val="12"/>
        <rFont val="Arial"/>
        <family val="2"/>
      </rPr>
      <t>v</t>
    </r>
  </si>
  <si>
    <r>
      <t>N/mm</t>
    </r>
    <r>
      <rPr>
        <vertAlign val="superscript"/>
        <sz val="11"/>
        <rFont val="Arial"/>
        <family val="2"/>
      </rPr>
      <t>2</t>
    </r>
  </si>
  <si>
    <r>
      <t>t</t>
    </r>
    <r>
      <rPr>
        <vertAlign val="subscript"/>
        <sz val="12"/>
        <rFont val="Arial"/>
        <family val="2"/>
      </rPr>
      <t>c</t>
    </r>
  </si>
  <si>
    <r>
      <t>mm</t>
    </r>
    <r>
      <rPr>
        <vertAlign val="superscript"/>
        <sz val="11"/>
        <rFont val="Arial"/>
        <family val="2"/>
      </rPr>
      <t>2</t>
    </r>
  </si>
  <si>
    <r>
      <t xml:space="preserve">\  </t>
    </r>
    <r>
      <rPr>
        <sz val="10"/>
        <rFont val="Arial"/>
        <family val="0"/>
      </rPr>
      <t xml:space="preserve"> spacing </t>
    </r>
  </si>
  <si>
    <r>
      <t>for tempreture reinforcement</t>
    </r>
    <r>
      <rPr>
        <b/>
        <sz val="10"/>
        <rFont val="Arial"/>
        <family val="2"/>
      </rPr>
      <t xml:space="preserve">    </t>
    </r>
    <r>
      <rPr>
        <sz val="10"/>
        <rFont val="Arial"/>
        <family val="2"/>
      </rPr>
      <t xml:space="preserve">provide </t>
    </r>
  </si>
  <si>
    <r>
      <t>mm c/c</t>
    </r>
    <r>
      <rPr>
        <sz val="11"/>
        <rFont val="Arial"/>
        <family val="2"/>
      </rPr>
      <t xml:space="preserve"> </t>
    </r>
    <r>
      <rPr>
        <sz val="10"/>
        <rFont val="Arial"/>
        <family val="2"/>
      </rPr>
      <t>both way in outer face</t>
    </r>
  </si>
  <si>
    <t>1/</t>
  </si>
  <si>
    <r>
      <t>1/K</t>
    </r>
    <r>
      <rPr>
        <vertAlign val="subscript"/>
        <sz val="10"/>
        <rFont val="Arial"/>
        <family val="2"/>
      </rPr>
      <t>a</t>
    </r>
    <r>
      <rPr>
        <sz val="10"/>
        <rFont val="Arial"/>
        <family val="2"/>
      </rPr>
      <t>=</t>
    </r>
  </si>
  <si>
    <t xml:space="preserve">Let u sprovide ashear key </t>
  </si>
  <si>
    <t xml:space="preserve">Let Pp be the intensity of passive pressure  devloped </t>
  </si>
  <si>
    <t>in front of key this intencity Pp depend upon the soil pressure P in front of the key</t>
  </si>
  <si>
    <t>Key</t>
  </si>
  <si>
    <t>Sliding force at level GJ</t>
  </si>
  <si>
    <t xml:space="preserve">Weight of the soil between bottom of the base and GJ </t>
  </si>
  <si>
    <t xml:space="preserve">x </t>
  </si>
  <si>
    <t>Since concrete can take this much of tensile stress, no special reinforcement is necessary for the shear key</t>
  </si>
  <si>
    <r>
      <t>1.5P</t>
    </r>
    <r>
      <rPr>
        <vertAlign val="subscript"/>
        <sz val="10"/>
        <rFont val="Arial"/>
        <family val="2"/>
      </rPr>
      <t>H</t>
    </r>
    <r>
      <rPr>
        <sz val="10"/>
        <rFont val="Arial"/>
        <family val="0"/>
      </rPr>
      <t xml:space="preserve"> - </t>
    </r>
    <r>
      <rPr>
        <sz val="10"/>
        <rFont val="Symbol"/>
        <family val="1"/>
      </rPr>
      <t>mS</t>
    </r>
    <r>
      <rPr>
        <sz val="10"/>
        <rFont val="Arial"/>
        <family val="0"/>
      </rPr>
      <t>W</t>
    </r>
  </si>
  <si>
    <r>
      <t xml:space="preserve">\     </t>
    </r>
    <r>
      <rPr>
        <sz val="10"/>
        <rFont val="Arial"/>
        <family val="0"/>
      </rPr>
      <t>shear stress</t>
    </r>
  </si>
  <si>
    <r>
      <t>P</t>
    </r>
    <r>
      <rPr>
        <vertAlign val="subscript"/>
        <sz val="10"/>
        <rFont val="Arial"/>
        <family val="2"/>
      </rPr>
      <t>p</t>
    </r>
  </si>
  <si>
    <r>
      <t>K</t>
    </r>
    <r>
      <rPr>
        <vertAlign val="subscript"/>
        <sz val="10"/>
        <rFont val="Arial"/>
        <family val="2"/>
      </rPr>
      <t>p</t>
    </r>
    <r>
      <rPr>
        <sz val="10"/>
        <rFont val="Arial"/>
        <family val="0"/>
      </rPr>
      <t xml:space="preserve">P </t>
    </r>
  </si>
  <si>
    <r>
      <t>\</t>
    </r>
    <r>
      <rPr>
        <sz val="10"/>
        <rFont val="Arial"/>
        <family val="2"/>
      </rPr>
      <t xml:space="preserve"> total passive pressure P</t>
    </r>
    <r>
      <rPr>
        <vertAlign val="subscript"/>
        <sz val="10"/>
        <rFont val="Arial"/>
        <family val="2"/>
      </rPr>
      <t>p</t>
    </r>
    <r>
      <rPr>
        <sz val="10"/>
        <rFont val="Arial"/>
        <family val="2"/>
      </rPr>
      <t xml:space="preserve"> =</t>
    </r>
  </si>
  <si>
    <r>
      <t>or P</t>
    </r>
    <r>
      <rPr>
        <vertAlign val="subscript"/>
        <sz val="10"/>
        <rFont val="Arial"/>
        <family val="2"/>
      </rPr>
      <t>H</t>
    </r>
  </si>
  <si>
    <r>
      <t>)</t>
    </r>
    <r>
      <rPr>
        <vertAlign val="superscript"/>
        <sz val="10"/>
        <rFont val="Arial"/>
        <family val="2"/>
      </rPr>
      <t>2</t>
    </r>
    <r>
      <rPr>
        <sz val="10"/>
        <rFont val="Arial"/>
        <family val="2"/>
      </rPr>
      <t>x</t>
    </r>
  </si>
  <si>
    <r>
      <t>S</t>
    </r>
    <r>
      <rPr>
        <b/>
        <sz val="10"/>
        <rFont val="Arial"/>
        <family val="2"/>
      </rPr>
      <t>W</t>
    </r>
  </si>
  <si>
    <r>
      <t xml:space="preserve"> </t>
    </r>
    <r>
      <rPr>
        <sz val="10"/>
        <rFont val="Symbol"/>
        <family val="1"/>
      </rPr>
      <t>m</t>
    </r>
    <r>
      <rPr>
        <sz val="10"/>
        <rFont val="Arial"/>
        <family val="0"/>
      </rPr>
      <t xml:space="preserve"> </t>
    </r>
    <r>
      <rPr>
        <sz val="10"/>
        <rFont val="Symbol"/>
        <family val="1"/>
      </rPr>
      <t>S</t>
    </r>
    <r>
      <rPr>
        <sz val="10"/>
        <rFont val="Arial"/>
        <family val="0"/>
      </rPr>
      <t>w+P</t>
    </r>
    <r>
      <rPr>
        <vertAlign val="subscript"/>
        <sz val="10"/>
        <rFont val="Arial"/>
        <family val="2"/>
      </rPr>
      <t>p</t>
    </r>
  </si>
  <si>
    <r>
      <t xml:space="preserve">              it should be noted that passive pressure taken into account above will be devloped only when length a</t>
    </r>
    <r>
      <rPr>
        <vertAlign val="subscript"/>
        <sz val="10"/>
        <rFont val="Arial"/>
        <family val="2"/>
      </rPr>
      <t xml:space="preserve">1 </t>
    </r>
    <r>
      <rPr>
        <sz val="10"/>
        <rFont val="Arial"/>
        <family val="2"/>
      </rPr>
      <t>given below is avilable in front of key  ;</t>
    </r>
  </si>
  <si>
    <r>
      <t xml:space="preserve">a tan </t>
    </r>
    <r>
      <rPr>
        <sz val="10"/>
        <rFont val="Symbol"/>
        <family val="1"/>
      </rPr>
      <t>F</t>
    </r>
  </si>
  <si>
    <r>
      <t xml:space="preserve">a </t>
    </r>
    <r>
      <rPr>
        <sz val="10"/>
        <rFont val="Symbol"/>
        <family val="1"/>
      </rPr>
      <t>Ö</t>
    </r>
    <r>
      <rPr>
        <sz val="10"/>
        <rFont val="Arial"/>
        <family val="2"/>
      </rPr>
      <t>k</t>
    </r>
    <r>
      <rPr>
        <vertAlign val="subscript"/>
        <sz val="10"/>
        <rFont val="Arial"/>
        <family val="2"/>
      </rPr>
      <t>p</t>
    </r>
  </si>
  <si>
    <r>
      <t xml:space="preserve">where (45 + </t>
    </r>
    <r>
      <rPr>
        <sz val="10"/>
        <rFont val="Symbol"/>
        <family val="1"/>
      </rPr>
      <t>F</t>
    </r>
    <r>
      <rPr>
        <sz val="10"/>
        <rFont val="Arial"/>
        <family val="0"/>
      </rPr>
      <t xml:space="preserve">/2) = </t>
    </r>
  </si>
  <si>
    <r>
      <t>a</t>
    </r>
    <r>
      <rPr>
        <vertAlign val="subscript"/>
        <sz val="10"/>
        <rFont val="Arial"/>
        <family val="2"/>
      </rPr>
      <t>1</t>
    </r>
    <r>
      <rPr>
        <sz val="10"/>
        <rFont val="Arial"/>
        <family val="2"/>
      </rPr>
      <t xml:space="preserve"> </t>
    </r>
  </si>
  <si>
    <r>
      <t>)</t>
    </r>
    <r>
      <rPr>
        <vertAlign val="superscript"/>
        <sz val="10"/>
        <rFont val="Arial"/>
        <family val="2"/>
      </rPr>
      <t>1/2</t>
    </r>
  </si>
  <si>
    <r>
      <t>Shear stress  t</t>
    </r>
    <r>
      <rPr>
        <vertAlign val="subscript"/>
        <sz val="10"/>
        <rFont val="Arial"/>
        <family val="2"/>
      </rPr>
      <t>c</t>
    </r>
  </si>
  <si>
    <t>Reiforcement   %</t>
  </si>
  <si>
    <r>
      <t>mm</t>
    </r>
    <r>
      <rPr>
        <sz val="10"/>
        <rFont val="Symbol"/>
        <family val="1"/>
      </rPr>
      <t xml:space="preserve"> F</t>
    </r>
  </si>
  <si>
    <r>
      <t>b</t>
    </r>
    <r>
      <rPr>
        <sz val="12"/>
        <rFont val="Arial"/>
        <family val="2"/>
      </rPr>
      <t xml:space="preserve"> </t>
    </r>
  </si>
  <si>
    <r>
      <t>KN/m</t>
    </r>
    <r>
      <rPr>
        <vertAlign val="superscript"/>
        <sz val="9"/>
        <rFont val="Arial"/>
        <family val="2"/>
      </rPr>
      <t>3</t>
    </r>
  </si>
  <si>
    <r>
      <t>N/m</t>
    </r>
    <r>
      <rPr>
        <vertAlign val="superscript"/>
        <sz val="9"/>
        <rFont val="Arial"/>
        <family val="2"/>
      </rPr>
      <t>3</t>
    </r>
  </si>
  <si>
    <r>
      <t>N/mm</t>
    </r>
    <r>
      <rPr>
        <vertAlign val="superscript"/>
        <sz val="9"/>
        <rFont val="Arial"/>
        <family val="2"/>
      </rPr>
      <t>2</t>
    </r>
  </si>
  <si>
    <r>
      <t>mm</t>
    </r>
    <r>
      <rPr>
        <sz val="10"/>
        <rFont val="Symbol"/>
        <family val="1"/>
      </rPr>
      <t xml:space="preserve"> F</t>
    </r>
    <r>
      <rPr>
        <sz val="10"/>
        <rFont val="Arial"/>
        <family val="2"/>
      </rPr>
      <t>@</t>
    </r>
  </si>
  <si>
    <r>
      <t xml:space="preserve">mm </t>
    </r>
    <r>
      <rPr>
        <sz val="10"/>
        <rFont val="Symbol"/>
        <family val="1"/>
      </rPr>
      <t>F</t>
    </r>
    <r>
      <rPr>
        <sz val="10"/>
        <rFont val="Arial"/>
        <family val="2"/>
      </rPr>
      <t>@</t>
    </r>
  </si>
  <si>
    <t>Put the value in BLUE  cell till value of BROWN cell =o, zero or near zero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</si>
</sst>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
    <numFmt numFmtId="168" formatCode="0.00000"/>
    <numFmt numFmtId="169" formatCode="0.00000000"/>
    <numFmt numFmtId="170" formatCode="0.000000"/>
    <numFmt numFmtId="171" formatCode="0.000000000000000"/>
    <numFmt numFmtId="172" formatCode="0.00000000000000"/>
    <numFmt numFmtId="173" formatCode="0.0000000000000"/>
    <numFmt numFmtId="174" formatCode="0.000000000000"/>
    <numFmt numFmtId="175" formatCode="0.00000000000"/>
    <numFmt numFmtId="176" formatCode="0.0000000000"/>
    <numFmt numFmtId="177" formatCode="0.000000000"/>
    <numFmt numFmtId="178" formatCode="&quot;Yes&quot;;&quot;Yes&quot;;&quot;No&quot;"/>
    <numFmt numFmtId="179" formatCode="&quot;True&quot;;&quot;True&quot;;&quot;False&quot;"/>
    <numFmt numFmtId="180" formatCode="&quot;On&quot;;&quot;On&quot;;&quot;Off&quot;"/>
    <numFmt numFmtId="181" formatCode="[$€-2]\ #,##0.00_);[Red]\([$€-2]\ #,##0.00\)"/>
  </numFmts>
  <fonts count="66">
    <font>
      <sz val="10"/>
      <name val="Arial"/>
      <family val="0"/>
    </font>
    <font>
      <b/>
      <sz val="11"/>
      <name val="Arial"/>
      <family val="2"/>
    </font>
    <font>
      <sz val="10"/>
      <name val="Symbol"/>
      <family val="1"/>
    </font>
    <font>
      <sz val="8"/>
      <name val="Arial"/>
      <family val="0"/>
    </font>
    <font>
      <i/>
      <sz val="10"/>
      <name val="Arial"/>
      <family val="2"/>
    </font>
    <font>
      <b/>
      <sz val="10"/>
      <name val="Arial"/>
      <family val="2"/>
    </font>
    <font>
      <b/>
      <u val="single"/>
      <sz val="10"/>
      <name val="Arial"/>
      <family val="2"/>
    </font>
    <font>
      <u val="single"/>
      <sz val="10"/>
      <name val="Arial"/>
      <family val="2"/>
    </font>
    <font>
      <vertAlign val="subscript"/>
      <sz val="10"/>
      <name val="Arial"/>
      <family val="2"/>
    </font>
    <font>
      <b/>
      <sz val="12"/>
      <name val="Arial"/>
      <family val="2"/>
    </font>
    <font>
      <b/>
      <i/>
      <u val="single"/>
      <sz val="10"/>
      <name val="Arial"/>
      <family val="2"/>
    </font>
    <font>
      <sz val="12"/>
      <name val="Symbol"/>
      <family val="1"/>
    </font>
    <font>
      <sz val="12"/>
      <name val="Arial"/>
      <family val="2"/>
    </font>
    <font>
      <vertAlign val="superscript"/>
      <sz val="10"/>
      <name val="Arial"/>
      <family val="2"/>
    </font>
    <font>
      <sz val="9"/>
      <name val="Arial"/>
      <family val="0"/>
    </font>
    <font>
      <vertAlign val="superscript"/>
      <sz val="8"/>
      <name val="Arial"/>
      <family val="2"/>
    </font>
    <font>
      <strike/>
      <vertAlign val="subscript"/>
      <sz val="10"/>
      <name val="Arial"/>
      <family val="0"/>
    </font>
    <font>
      <sz val="9"/>
      <name val="Symbol"/>
      <family val="1"/>
    </font>
    <font>
      <sz val="11"/>
      <name val="Arial"/>
      <family val="2"/>
    </font>
    <font>
      <i/>
      <sz val="11"/>
      <name val="Arial"/>
      <family val="2"/>
    </font>
    <font>
      <b/>
      <i/>
      <sz val="10"/>
      <name val="Arial"/>
      <family val="2"/>
    </font>
    <font>
      <i/>
      <sz val="10"/>
      <name val="Symbol"/>
      <family val="1"/>
    </font>
    <font>
      <b/>
      <sz val="12"/>
      <name val="Symbol"/>
      <family val="1"/>
    </font>
    <font>
      <sz val="10"/>
      <color indexed="10"/>
      <name val="Arial"/>
      <family val="2"/>
    </font>
    <font>
      <b/>
      <sz val="11"/>
      <name val="Symbol"/>
      <family val="1"/>
    </font>
    <font>
      <sz val="6"/>
      <name val="Arial"/>
      <family val="0"/>
    </font>
    <font>
      <b/>
      <vertAlign val="subscript"/>
      <sz val="11"/>
      <name val="Arial"/>
      <family val="2"/>
    </font>
    <font>
      <sz val="8"/>
      <name val="Symbol"/>
      <family val="1"/>
    </font>
    <font>
      <vertAlign val="subscript"/>
      <sz val="8"/>
      <name val="Arial"/>
      <family val="2"/>
    </font>
    <font>
      <sz val="11"/>
      <name val="Symbol"/>
      <family val="1"/>
    </font>
    <font>
      <b/>
      <i/>
      <sz val="11"/>
      <name val="Arial"/>
      <family val="2"/>
    </font>
    <font>
      <vertAlign val="subscript"/>
      <sz val="11"/>
      <name val="Arial"/>
      <family val="2"/>
    </font>
    <font>
      <sz val="10"/>
      <name val="Tahoma"/>
      <family val="2"/>
    </font>
    <font>
      <b/>
      <u val="single"/>
      <vertAlign val="subscript"/>
      <sz val="10"/>
      <name val="Arial"/>
      <family val="2"/>
    </font>
    <font>
      <b/>
      <i/>
      <u val="single"/>
      <sz val="11"/>
      <name val="Arial"/>
      <family val="2"/>
    </font>
    <font>
      <b/>
      <sz val="10"/>
      <name val="Symbol"/>
      <family val="1"/>
    </font>
    <font>
      <b/>
      <sz val="9"/>
      <name val="Arial"/>
      <family val="2"/>
    </font>
    <font>
      <b/>
      <vertAlign val="subscript"/>
      <sz val="12"/>
      <name val="Arial"/>
      <family val="2"/>
    </font>
    <font>
      <sz val="12"/>
      <color indexed="10"/>
      <name val="Arial"/>
      <family val="0"/>
    </font>
    <font>
      <b/>
      <sz val="10"/>
      <color indexed="10"/>
      <name val="Arial"/>
      <family val="2"/>
    </font>
    <font>
      <b/>
      <sz val="11"/>
      <color indexed="10"/>
      <name val="Arial"/>
      <family val="2"/>
    </font>
    <font>
      <u val="single"/>
      <sz val="10"/>
      <color indexed="12"/>
      <name val="Arial"/>
      <family val="0"/>
    </font>
    <font>
      <u val="single"/>
      <sz val="10"/>
      <color indexed="36"/>
      <name val="Arial"/>
      <family val="0"/>
    </font>
    <font>
      <b/>
      <sz val="14"/>
      <name val="Arial"/>
      <family val="2"/>
    </font>
    <font>
      <b/>
      <i/>
      <u val="single"/>
      <sz val="12"/>
      <name val="Arial"/>
      <family val="2"/>
    </font>
    <font>
      <b/>
      <i/>
      <sz val="12"/>
      <name val="Arial"/>
      <family val="2"/>
    </font>
    <font>
      <vertAlign val="superscript"/>
      <sz val="9"/>
      <name val="Arial"/>
      <family val="2"/>
    </font>
    <font>
      <b/>
      <i/>
      <u val="single"/>
      <sz val="10"/>
      <color indexed="12"/>
      <name val="Arial"/>
      <family val="2"/>
    </font>
    <font>
      <sz val="10"/>
      <color indexed="12"/>
      <name val="Arial"/>
      <family val="2"/>
    </font>
    <font>
      <sz val="12"/>
      <color indexed="12"/>
      <name val="Arial"/>
      <family val="2"/>
    </font>
    <font>
      <u val="single"/>
      <vertAlign val="superscript"/>
      <sz val="10"/>
      <name val="Arial"/>
      <family val="2"/>
    </font>
    <font>
      <u val="single"/>
      <sz val="10"/>
      <name val="Symbol"/>
      <family val="1"/>
    </font>
    <font>
      <i/>
      <vertAlign val="subscript"/>
      <sz val="10"/>
      <name val="Arial"/>
      <family val="2"/>
    </font>
    <font>
      <sz val="11"/>
      <color indexed="10"/>
      <name val="Arial"/>
      <family val="2"/>
    </font>
    <font>
      <i/>
      <sz val="11"/>
      <color indexed="10"/>
      <name val="Arial"/>
      <family val="2"/>
    </font>
    <font>
      <vertAlign val="subscript"/>
      <sz val="10"/>
      <color indexed="10"/>
      <name val="Arial"/>
      <family val="2"/>
    </font>
    <font>
      <b/>
      <vertAlign val="subscript"/>
      <sz val="10"/>
      <name val="Arial"/>
      <family val="2"/>
    </font>
    <font>
      <vertAlign val="subscript"/>
      <sz val="9"/>
      <name val="Arial"/>
      <family val="2"/>
    </font>
    <font>
      <vertAlign val="superscript"/>
      <sz val="11"/>
      <name val="Arial"/>
      <family val="2"/>
    </font>
    <font>
      <i/>
      <sz val="9"/>
      <name val="Arial"/>
      <family val="0"/>
    </font>
    <font>
      <b/>
      <vertAlign val="superscript"/>
      <sz val="11"/>
      <name val="Arial"/>
      <family val="2"/>
    </font>
    <font>
      <i/>
      <vertAlign val="superscript"/>
      <sz val="10"/>
      <name val="Arial"/>
      <family val="2"/>
    </font>
    <font>
      <vertAlign val="subscript"/>
      <sz val="12"/>
      <name val="Arial"/>
      <family val="2"/>
    </font>
    <font>
      <b/>
      <i/>
      <sz val="12"/>
      <color indexed="12"/>
      <name val="Arial"/>
      <family val="2"/>
    </font>
    <font>
      <sz val="10"/>
      <color indexed="10"/>
      <name val="Symbol"/>
      <family val="1"/>
    </font>
    <font>
      <b/>
      <sz val="8"/>
      <name val="Arial"/>
      <family val="2"/>
    </font>
  </fonts>
  <fills count="12">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51"/>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cellStyleXfs>
  <cellXfs count="114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justify"/>
    </xf>
    <xf numFmtId="0" fontId="5" fillId="0" borderId="0" xfId="0" applyFont="1" applyAlignment="1">
      <alignment/>
    </xf>
    <xf numFmtId="0" fontId="6"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xf>
    <xf numFmtId="2"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horizontal="right"/>
    </xf>
    <xf numFmtId="0" fontId="5" fillId="0" borderId="0" xfId="0" applyFont="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0" fontId="5" fillId="0" borderId="0" xfId="0" applyFont="1" applyAlignment="1" quotePrefix="1">
      <alignment/>
    </xf>
    <xf numFmtId="0" fontId="10" fillId="0" borderId="0" xfId="0" applyFont="1" applyAlignment="1">
      <alignment/>
    </xf>
    <xf numFmtId="0" fontId="0" fillId="0" borderId="0" xfId="0" applyAlignment="1" quotePrefix="1">
      <alignment/>
    </xf>
    <xf numFmtId="0" fontId="11" fillId="0" borderId="0" xfId="0" applyFont="1" applyAlignment="1" quotePrefix="1">
      <alignment horizontal="center"/>
    </xf>
    <xf numFmtId="0" fontId="0" fillId="0" borderId="0" xfId="0" applyAlignment="1" quotePrefix="1">
      <alignment horizontal="center"/>
    </xf>
    <xf numFmtId="0" fontId="12" fillId="0" borderId="0" xfId="0" applyFont="1" applyAlignment="1">
      <alignment horizontal="center"/>
    </xf>
    <xf numFmtId="0" fontId="5" fillId="0" borderId="0" xfId="0" applyFont="1" applyAlignment="1">
      <alignment horizontal="right" vertical="center"/>
    </xf>
    <xf numFmtId="0" fontId="0" fillId="0" borderId="0" xfId="0" applyAlignment="1" quotePrefix="1">
      <alignment horizontal="center" vertical="center"/>
    </xf>
    <xf numFmtId="0" fontId="0" fillId="0" borderId="1" xfId="0" applyFont="1" applyBorder="1" applyAlignment="1">
      <alignment horizontal="center"/>
    </xf>
    <xf numFmtId="0" fontId="0" fillId="0" borderId="0" xfId="0" applyAlignment="1">
      <alignment horizontal="right" vertical="center"/>
    </xf>
    <xf numFmtId="0" fontId="0" fillId="0" borderId="0" xfId="0" applyAlignment="1">
      <alignment vertical="center"/>
    </xf>
    <xf numFmtId="0" fontId="5" fillId="0" borderId="0" xfId="0" applyFont="1" applyAlignment="1">
      <alignment horizontal="right"/>
    </xf>
    <xf numFmtId="0" fontId="11" fillId="0" borderId="0" xfId="0" applyFont="1" applyFill="1" applyBorder="1" applyAlignment="1" quotePrefix="1">
      <alignment horizontal="center"/>
    </xf>
    <xf numFmtId="165" fontId="0" fillId="0" borderId="0" xfId="0" applyNumberFormat="1" applyAlignment="1">
      <alignment horizontal="center"/>
    </xf>
    <xf numFmtId="165" fontId="5" fillId="0" borderId="0" xfId="0" applyNumberFormat="1" applyFont="1" applyAlignment="1">
      <alignment horizontal="center"/>
    </xf>
    <xf numFmtId="0" fontId="2" fillId="0" borderId="0" xfId="0"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1" fontId="1" fillId="0" borderId="0" xfId="0" applyNumberFormat="1" applyFont="1" applyAlignment="1">
      <alignment horizontal="center" vertical="center"/>
    </xf>
    <xf numFmtId="0" fontId="0" fillId="0" borderId="0" xfId="0" applyAlignment="1">
      <alignment horizontal="left" vertical="center"/>
    </xf>
    <xf numFmtId="0" fontId="0" fillId="0" borderId="0" xfId="0" applyFont="1" applyAlignment="1" quotePrefix="1">
      <alignment horizontal="center" vertical="center"/>
    </xf>
    <xf numFmtId="2" fontId="1" fillId="0" borderId="0" xfId="0" applyNumberFormat="1" applyFont="1" applyAlignment="1">
      <alignment horizontal="center" vertical="center"/>
    </xf>
    <xf numFmtId="0" fontId="0" fillId="0" borderId="0" xfId="0" applyAlignment="1">
      <alignment vertical="center" wrapText="1"/>
    </xf>
    <xf numFmtId="1" fontId="0" fillId="0" borderId="0" xfId="0" applyNumberFormat="1" applyAlignment="1">
      <alignment horizontal="center" vertical="center"/>
    </xf>
    <xf numFmtId="1" fontId="0" fillId="0" borderId="0" xfId="0" applyNumberFormat="1" applyFont="1" applyAlignment="1">
      <alignment horizontal="center" vertical="center"/>
    </xf>
    <xf numFmtId="0" fontId="10" fillId="0" borderId="0" xfId="0" applyFont="1" applyAlignment="1">
      <alignment vertical="center"/>
    </xf>
    <xf numFmtId="0" fontId="0" fillId="0" borderId="0" xfId="0" applyFont="1" applyAlignment="1">
      <alignment horizontal="center" vertical="center"/>
    </xf>
    <xf numFmtId="0" fontId="0" fillId="0" borderId="0" xfId="0" applyFont="1" applyAlignment="1" quotePrefix="1">
      <alignment vertical="center"/>
    </xf>
    <xf numFmtId="0" fontId="0" fillId="0" borderId="0" xfId="0" applyFont="1" applyAlignment="1" quotePrefix="1">
      <alignment horizontal="center" vertical="center"/>
    </xf>
    <xf numFmtId="0" fontId="0" fillId="0" borderId="0" xfId="0" applyFont="1" applyAlignment="1">
      <alignment horizontal="left" vertical="center"/>
    </xf>
    <xf numFmtId="2" fontId="0" fillId="0" borderId="0" xfId="0" applyNumberFormat="1" applyFont="1" applyAlignment="1">
      <alignment horizontal="center" vertical="center"/>
    </xf>
    <xf numFmtId="0" fontId="0" fillId="0" borderId="0" xfId="0" applyFont="1" applyAlignment="1" quotePrefix="1">
      <alignment horizontal="left" vertical="center"/>
    </xf>
    <xf numFmtId="0" fontId="5" fillId="0" borderId="0" xfId="0" applyFont="1" applyAlignment="1">
      <alignment horizontal="left" vertical="center"/>
    </xf>
    <xf numFmtId="2" fontId="19" fillId="0" borderId="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center" vertical="center"/>
    </xf>
    <xf numFmtId="0" fontId="16" fillId="0" borderId="0" xfId="0" applyFont="1" applyAlignment="1" quotePrefix="1">
      <alignment horizontal="center" vertical="center"/>
    </xf>
    <xf numFmtId="1" fontId="16"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3" fillId="0" borderId="0" xfId="0" applyFont="1" applyAlignment="1">
      <alignment vertical="center"/>
    </xf>
    <xf numFmtId="0" fontId="0" fillId="0" borderId="0" xfId="0" applyFont="1" applyAlignment="1">
      <alignment vertical="center"/>
    </xf>
    <xf numFmtId="2" fontId="0" fillId="0" borderId="0" xfId="0" applyNumberFormat="1" applyFont="1" applyAlignment="1">
      <alignment vertical="center"/>
    </xf>
    <xf numFmtId="0" fontId="5" fillId="0" borderId="0" xfId="0" applyFont="1" applyAlignment="1">
      <alignment vertical="center"/>
    </xf>
    <xf numFmtId="1" fontId="0" fillId="0" borderId="0" xfId="0" applyNumberFormat="1" applyFont="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right" vertical="center"/>
    </xf>
    <xf numFmtId="2" fontId="19" fillId="0" borderId="0" xfId="0" applyNumberFormat="1" applyFont="1" applyBorder="1" applyAlignment="1">
      <alignment horizontal="left" vertical="center"/>
    </xf>
    <xf numFmtId="165" fontId="0" fillId="0" borderId="0" xfId="0" applyNumberFormat="1" applyAlignment="1">
      <alignment horizontal="center" vertical="center"/>
    </xf>
    <xf numFmtId="0" fontId="0" fillId="0" borderId="1" xfId="0" applyFont="1" applyBorder="1" applyAlignment="1">
      <alignment horizontal="center" vertical="center"/>
    </xf>
    <xf numFmtId="0" fontId="0" fillId="0" borderId="0" xfId="0" applyBorder="1" applyAlignment="1">
      <alignment horizontal="center" vertical="center"/>
    </xf>
    <xf numFmtId="1" fontId="0" fillId="0" borderId="2"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quotePrefix="1">
      <alignment vertical="center"/>
    </xf>
    <xf numFmtId="2" fontId="18" fillId="0" borderId="0" xfId="0" applyNumberFormat="1" applyFont="1" applyBorder="1" applyAlignment="1">
      <alignment horizontal="center" vertical="center"/>
    </xf>
    <xf numFmtId="0" fontId="0" fillId="0" borderId="0" xfId="0" applyBorder="1" applyAlignment="1" quotePrefix="1">
      <alignment horizontal="center" vertical="center"/>
    </xf>
    <xf numFmtId="2" fontId="0" fillId="0" borderId="0" xfId="0" applyNumberFormat="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1" fontId="18" fillId="0" borderId="1" xfId="0" applyNumberFormat="1" applyFont="1" applyBorder="1" applyAlignment="1" quotePrefix="1">
      <alignment horizontal="center" vertical="center"/>
    </xf>
    <xf numFmtId="0" fontId="0" fillId="0" borderId="0" xfId="0" applyBorder="1" applyAlignment="1">
      <alignment horizontal="left" vertical="center"/>
    </xf>
    <xf numFmtId="1" fontId="18" fillId="0" borderId="0" xfId="0" applyNumberFormat="1" applyFont="1" applyAlignment="1">
      <alignment horizontal="center" vertical="center"/>
    </xf>
    <xf numFmtId="0" fontId="0" fillId="0" borderId="0" xfId="0" applyFont="1" applyAlignment="1">
      <alignment vertical="center"/>
    </xf>
    <xf numFmtId="0" fontId="0" fillId="0" borderId="0" xfId="0" applyFont="1" applyBorder="1" applyAlignment="1" quotePrefix="1">
      <alignment vertical="center"/>
    </xf>
    <xf numFmtId="0" fontId="0" fillId="0" borderId="0" xfId="0" applyFont="1" applyBorder="1" applyAlignment="1">
      <alignment/>
    </xf>
    <xf numFmtId="2" fontId="0" fillId="0" borderId="0" xfId="0" applyNumberFormat="1" applyFont="1" applyBorder="1" applyAlignment="1">
      <alignment horizontal="center" vertical="center"/>
    </xf>
    <xf numFmtId="0" fontId="0" fillId="0" borderId="0" xfId="0" applyFont="1" applyBorder="1" applyAlignment="1">
      <alignment vertical="center"/>
    </xf>
    <xf numFmtId="2"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xf>
    <xf numFmtId="165" fontId="5" fillId="0" borderId="0" xfId="0" applyNumberFormat="1" applyFont="1" applyAlignment="1">
      <alignment/>
    </xf>
    <xf numFmtId="0" fontId="2" fillId="0" borderId="0" xfId="0" applyFont="1" applyAlignment="1">
      <alignment/>
    </xf>
    <xf numFmtId="0" fontId="21" fillId="0" borderId="0" xfId="0" applyFont="1" applyAlignment="1">
      <alignment horizontal="center" vertical="center"/>
    </xf>
    <xf numFmtId="0" fontId="0" fillId="0" borderId="0" xfId="0" applyAlignment="1">
      <alignment horizontal="center" vertical="top"/>
    </xf>
    <xf numFmtId="2" fontId="0" fillId="0" borderId="0" xfId="0" applyNumberFormat="1" applyAlignment="1">
      <alignment/>
    </xf>
    <xf numFmtId="0" fontId="5" fillId="0" borderId="0" xfId="0" applyFont="1" applyAlignment="1" quotePrefix="1">
      <alignment vertical="center"/>
    </xf>
    <xf numFmtId="0" fontId="0" fillId="0" borderId="3" xfId="0" applyBorder="1" applyAlignment="1">
      <alignment horizontal="center"/>
    </xf>
    <xf numFmtId="0" fontId="0" fillId="0" borderId="4" xfId="0" applyBorder="1" applyAlignment="1">
      <alignment horizontal="center"/>
    </xf>
    <xf numFmtId="165" fontId="0" fillId="0" borderId="0" xfId="0" applyNumberFormat="1" applyFont="1" applyAlignment="1">
      <alignment vertical="center"/>
    </xf>
    <xf numFmtId="0" fontId="5" fillId="0" borderId="0" xfId="0" applyFont="1" applyAlignment="1">
      <alignment horizontal="left" vertical="center"/>
    </xf>
    <xf numFmtId="0" fontId="0" fillId="0" borderId="0" xfId="0" applyFont="1" applyFill="1" applyAlignment="1" quotePrefix="1">
      <alignment horizontal="center" vertical="center"/>
    </xf>
    <xf numFmtId="0" fontId="16" fillId="0" borderId="0" xfId="0" applyFont="1" applyAlignment="1">
      <alignment horizontal="center" vertical="center" wrapText="1"/>
    </xf>
    <xf numFmtId="0" fontId="16" fillId="0" borderId="0" xfId="0" applyFont="1" applyAlignment="1">
      <alignment vertical="center"/>
    </xf>
    <xf numFmtId="0" fontId="16" fillId="0" borderId="0" xfId="0" applyFont="1" applyFill="1" applyAlignment="1" quotePrefix="1">
      <alignment horizontal="center" vertical="center"/>
    </xf>
    <xf numFmtId="2" fontId="0" fillId="0" borderId="1" xfId="0" applyNumberFormat="1" applyBorder="1" applyAlignment="1">
      <alignment horizontal="center" vertical="center"/>
    </xf>
    <xf numFmtId="1" fontId="0" fillId="0" borderId="0" xfId="0" applyNumberFormat="1" applyAlignment="1">
      <alignment horizontal="left" vertical="center"/>
    </xf>
    <xf numFmtId="0" fontId="0" fillId="0" borderId="1" xfId="0" applyFont="1" applyBorder="1" applyAlignment="1">
      <alignment vertical="center"/>
    </xf>
    <xf numFmtId="1" fontId="0" fillId="0" borderId="0" xfId="0" applyNumberFormat="1" applyFont="1" applyAlignment="1">
      <alignment vertical="center"/>
    </xf>
    <xf numFmtId="1" fontId="0" fillId="0" borderId="0" xfId="0" applyNumberFormat="1" applyFont="1" applyAlignment="1">
      <alignment horizontal="left" vertical="center"/>
    </xf>
    <xf numFmtId="0" fontId="18" fillId="0" borderId="0" xfId="0" applyFont="1" applyAlignment="1">
      <alignment vertical="center"/>
    </xf>
    <xf numFmtId="0" fontId="1" fillId="0" borderId="0" xfId="0" applyFont="1" applyAlignment="1">
      <alignment horizontal="right" vertical="center"/>
    </xf>
    <xf numFmtId="2" fontId="0" fillId="0" borderId="1" xfId="0" applyNumberFormat="1" applyFont="1" applyBorder="1" applyAlignment="1">
      <alignment horizontal="center" vertical="center"/>
    </xf>
    <xf numFmtId="0" fontId="5" fillId="0" borderId="0" xfId="0" applyFont="1" applyAlignment="1" quotePrefix="1">
      <alignment horizontal="center"/>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Border="1" applyAlignment="1" quotePrefix="1">
      <alignment horizontal="center" vertical="center"/>
    </xf>
    <xf numFmtId="0" fontId="0" fillId="0" borderId="0" xfId="0" applyFont="1" applyAlignment="1">
      <alignment horizontal="left" vertical="center" wrapText="1"/>
    </xf>
    <xf numFmtId="0" fontId="2" fillId="0" borderId="0" xfId="0" applyFont="1" applyAlignment="1">
      <alignment horizontal="center" vertical="center" wrapText="1"/>
    </xf>
    <xf numFmtId="0" fontId="0" fillId="0" borderId="4" xfId="0" applyFont="1" applyBorder="1" applyAlignment="1">
      <alignment horizontal="center" vertical="center"/>
    </xf>
    <xf numFmtId="2" fontId="0" fillId="0" borderId="4" xfId="0" applyNumberFormat="1" applyFont="1" applyBorder="1" applyAlignment="1">
      <alignment horizontal="center" vertical="center"/>
    </xf>
    <xf numFmtId="0" fontId="0" fillId="0" borderId="0" xfId="0" applyFont="1" applyAlignment="1">
      <alignment vertical="center" wrapText="1"/>
    </xf>
    <xf numFmtId="0" fontId="0" fillId="0" borderId="4" xfId="0" applyFont="1" applyFill="1" applyBorder="1" applyAlignment="1">
      <alignment horizontal="center" vertical="center"/>
    </xf>
    <xf numFmtId="0" fontId="0" fillId="0" borderId="4" xfId="0" applyFont="1" applyBorder="1" applyAlignment="1" quotePrefix="1">
      <alignment horizontal="center" vertical="center"/>
    </xf>
    <xf numFmtId="1" fontId="0" fillId="0" borderId="4" xfId="0" applyNumberFormat="1" applyFont="1" applyBorder="1" applyAlignment="1">
      <alignment horizontal="center" vertical="center"/>
    </xf>
    <xf numFmtId="0" fontId="0" fillId="0" borderId="4" xfId="0" applyFont="1" applyFill="1" applyBorder="1" applyAlignment="1" quotePrefix="1">
      <alignment horizontal="center" vertical="center"/>
    </xf>
    <xf numFmtId="0" fontId="7" fillId="0" borderId="0" xfId="0" applyFont="1" applyAlignment="1">
      <alignment horizontal="right" vertical="center" wrapText="1"/>
    </xf>
    <xf numFmtId="2" fontId="0" fillId="0" borderId="5" xfId="0" applyNumberFormat="1" applyFont="1" applyBorder="1" applyAlignment="1">
      <alignment vertical="center"/>
    </xf>
    <xf numFmtId="2" fontId="0" fillId="0" borderId="5" xfId="0" applyNumberFormat="1" applyFont="1" applyBorder="1" applyAlignment="1">
      <alignment horizontal="center" vertical="center"/>
    </xf>
    <xf numFmtId="0" fontId="2" fillId="0" borderId="4" xfId="0" applyFont="1" applyBorder="1" applyAlignment="1">
      <alignment horizontal="right" vertical="center"/>
    </xf>
    <xf numFmtId="2" fontId="0" fillId="0" borderId="0" xfId="0" applyNumberFormat="1" applyFont="1" applyAlignment="1">
      <alignment horizontal="center" vertical="center" wrapText="1"/>
    </xf>
    <xf numFmtId="0" fontId="0" fillId="0" borderId="0" xfId="0" applyFont="1" applyAlignment="1" quotePrefix="1">
      <alignment horizontal="center" vertical="center" wrapText="1"/>
    </xf>
    <xf numFmtId="2" fontId="0" fillId="0" borderId="0" xfId="0" applyNumberFormat="1" applyFont="1" applyAlignment="1" quotePrefix="1">
      <alignment horizontal="center" vertical="center"/>
    </xf>
    <xf numFmtId="0" fontId="0" fillId="0" borderId="1" xfId="0" applyFont="1" applyFill="1" applyBorder="1" applyAlignment="1">
      <alignment horizontal="center" vertical="center"/>
    </xf>
    <xf numFmtId="0" fontId="2" fillId="0" borderId="0" xfId="0" applyFont="1" applyAlignment="1">
      <alignment horizontal="right" vertical="center" wrapText="1"/>
    </xf>
    <xf numFmtId="0" fontId="0" fillId="0" borderId="0" xfId="0" applyFont="1" applyFill="1" applyAlignment="1" quotePrefix="1">
      <alignment horizontal="left" vertical="center"/>
    </xf>
    <xf numFmtId="1"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left"/>
    </xf>
    <xf numFmtId="0" fontId="2" fillId="0" borderId="0" xfId="0" applyFont="1" applyAlignment="1">
      <alignment horizontal="left"/>
    </xf>
    <xf numFmtId="0" fontId="2" fillId="0" borderId="2" xfId="0" applyFont="1" applyBorder="1" applyAlignment="1">
      <alignment horizontal="center" vertical="center" wrapText="1"/>
    </xf>
    <xf numFmtId="2" fontId="0" fillId="0" borderId="0" xfId="0" applyNumberFormat="1" applyFont="1" applyAlignment="1">
      <alignment horizontal="left" vertical="center" wrapText="1"/>
    </xf>
    <xf numFmtId="2" fontId="0" fillId="0" borderId="2" xfId="0" applyNumberFormat="1" applyFont="1" applyBorder="1" applyAlignment="1">
      <alignment horizontal="left" vertical="center" wrapText="1"/>
    </xf>
    <xf numFmtId="0" fontId="0" fillId="0" borderId="0" xfId="0" applyFont="1" applyAlignment="1" quotePrefix="1">
      <alignment horizontal="left" vertical="center" wrapText="1"/>
    </xf>
    <xf numFmtId="2" fontId="0" fillId="0" borderId="0" xfId="0" applyNumberFormat="1" applyFont="1" applyAlignment="1">
      <alignment horizontal="left" vertical="center"/>
    </xf>
    <xf numFmtId="0" fontId="0" fillId="0" borderId="2" xfId="0" applyFont="1" applyBorder="1" applyAlignment="1" quotePrefix="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left" vertical="center" wrapText="1"/>
    </xf>
    <xf numFmtId="2" fontId="0" fillId="0" borderId="1" xfId="0" applyNumberFormat="1" applyFont="1" applyBorder="1" applyAlignment="1">
      <alignment horizontal="center" vertical="center" wrapText="1"/>
    </xf>
    <xf numFmtId="0" fontId="0" fillId="0" borderId="0" xfId="0" applyFont="1" applyFill="1" applyAlignment="1">
      <alignment vertical="center"/>
    </xf>
    <xf numFmtId="2" fontId="0" fillId="0" borderId="0" xfId="0" applyNumberFormat="1" applyFont="1" applyBorder="1" applyAlignment="1">
      <alignment horizontal="left" vertical="center"/>
    </xf>
    <xf numFmtId="2" fontId="0" fillId="0" borderId="0" xfId="0" applyNumberFormat="1" applyFont="1" applyBorder="1" applyAlignment="1" quotePrefix="1">
      <alignment horizontal="left" vertical="center"/>
    </xf>
    <xf numFmtId="1" fontId="1" fillId="0" borderId="0" xfId="0" applyNumberFormat="1" applyFont="1" applyFill="1" applyAlignment="1">
      <alignment horizontal="center" vertical="center"/>
    </xf>
    <xf numFmtId="2" fontId="0" fillId="0" borderId="0" xfId="0" applyNumberFormat="1" applyFont="1" applyBorder="1" applyAlignment="1" quotePrefix="1">
      <alignment horizontal="center" vertical="center"/>
    </xf>
    <xf numFmtId="0" fontId="0" fillId="0" borderId="1" xfId="0" applyFont="1" applyBorder="1" applyAlignment="1" quotePrefix="1">
      <alignment horizontal="center" vertical="center" wrapText="1"/>
    </xf>
    <xf numFmtId="2" fontId="0" fillId="0" borderId="1" xfId="0" applyNumberFormat="1" applyFont="1" applyBorder="1" applyAlignment="1">
      <alignment horizontal="left" vertical="center"/>
    </xf>
    <xf numFmtId="1" fontId="0" fillId="0" borderId="0" xfId="0" applyNumberFormat="1" applyAlignment="1">
      <alignment horizontal="center"/>
    </xf>
    <xf numFmtId="1" fontId="0" fillId="0" borderId="0" xfId="0" applyNumberFormat="1" applyAlignment="1" quotePrefix="1">
      <alignment horizontal="left" vertical="center"/>
    </xf>
    <xf numFmtId="2" fontId="0" fillId="0" borderId="0" xfId="0" applyNumberFormat="1" applyAlignment="1" quotePrefix="1">
      <alignment horizontal="center" vertical="center"/>
    </xf>
    <xf numFmtId="0" fontId="0" fillId="0" borderId="0" xfId="0" applyFont="1" applyBorder="1" applyAlignment="1">
      <alignment horizontal="center"/>
    </xf>
    <xf numFmtId="2" fontId="0" fillId="0" borderId="0" xfId="0" applyNumberFormat="1" applyAlignment="1">
      <alignment/>
    </xf>
    <xf numFmtId="2" fontId="5" fillId="0" borderId="0" xfId="0" applyNumberFormat="1" applyFont="1" applyAlignment="1">
      <alignment vertical="center"/>
    </xf>
    <xf numFmtId="0" fontId="0" fillId="0" borderId="0" xfId="0" applyFont="1" applyAlignment="1">
      <alignment wrapText="1"/>
    </xf>
    <xf numFmtId="0" fontId="0" fillId="0" borderId="0" xfId="0" applyFont="1" applyBorder="1" applyAlignment="1">
      <alignment/>
    </xf>
    <xf numFmtId="1" fontId="0" fillId="0" borderId="1" xfId="0" applyNumberFormat="1" applyBorder="1" applyAlignment="1">
      <alignment horizontal="center" vertical="center"/>
    </xf>
    <xf numFmtId="2" fontId="18" fillId="0" borderId="0" xfId="0" applyNumberFormat="1" applyFont="1" applyAlignment="1">
      <alignment horizontal="center" vertical="center"/>
    </xf>
    <xf numFmtId="0" fontId="9" fillId="0" borderId="0" xfId="0" applyFont="1" applyAlignment="1">
      <alignment horizontal="center"/>
    </xf>
    <xf numFmtId="0" fontId="0" fillId="0" borderId="1" xfId="0"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wrapText="1"/>
    </xf>
    <xf numFmtId="0" fontId="14" fillId="0" borderId="0" xfId="0" applyFont="1" applyAlignment="1">
      <alignment horizontal="center" vertical="center"/>
    </xf>
    <xf numFmtId="2" fontId="1" fillId="0" borderId="0" xfId="0" applyNumberFormat="1" applyFont="1" applyAlignment="1">
      <alignment horizontal="center"/>
    </xf>
    <xf numFmtId="0" fontId="14" fillId="0" borderId="0" xfId="0" applyFont="1" applyAlignment="1">
      <alignment horizontal="right" vertical="center" wrapText="1"/>
    </xf>
    <xf numFmtId="0" fontId="0" fillId="0" borderId="0" xfId="0" applyFont="1" applyAlignment="1">
      <alignment horizontal="justify" vertical="center" wrapText="1"/>
    </xf>
    <xf numFmtId="0" fontId="0" fillId="0" borderId="0" xfId="0" applyFont="1" applyAlignment="1" quotePrefix="1">
      <alignment horizontal="right" vertical="center"/>
    </xf>
    <xf numFmtId="0" fontId="0" fillId="0" borderId="2" xfId="0" applyBorder="1" applyAlignment="1">
      <alignment horizontal="center"/>
    </xf>
    <xf numFmtId="2" fontId="1" fillId="0" borderId="0" xfId="0" applyNumberFormat="1" applyFont="1" applyAlignment="1">
      <alignment horizontal="left" vertical="center"/>
    </xf>
    <xf numFmtId="0" fontId="2" fillId="0" borderId="1" xfId="0" applyFont="1" applyBorder="1" applyAlignment="1">
      <alignment horizontal="center" vertical="center"/>
    </xf>
    <xf numFmtId="0" fontId="0" fillId="0" borderId="1" xfId="0" applyBorder="1" applyAlignment="1">
      <alignment/>
    </xf>
    <xf numFmtId="0" fontId="0" fillId="0" borderId="1" xfId="0" applyFont="1" applyBorder="1" applyAlignment="1">
      <alignment/>
    </xf>
    <xf numFmtId="0" fontId="0" fillId="0" borderId="1" xfId="0" applyFont="1" applyBorder="1" applyAlignment="1">
      <alignment horizontal="center" vertical="center"/>
    </xf>
    <xf numFmtId="0" fontId="25" fillId="0" borderId="0" xfId="0" applyFont="1" applyAlignment="1">
      <alignment horizontal="center"/>
    </xf>
    <xf numFmtId="0" fontId="0" fillId="0" borderId="4" xfId="0" applyBorder="1" applyAlignment="1">
      <alignment/>
    </xf>
    <xf numFmtId="0" fontId="18" fillId="0" borderId="0" xfId="0" applyFont="1" applyBorder="1" applyAlignment="1">
      <alignment horizontal="left" vertical="center"/>
    </xf>
    <xf numFmtId="0" fontId="0" fillId="2" borderId="0" xfId="0" applyFill="1" applyAlignment="1">
      <alignment/>
    </xf>
    <xf numFmtId="2" fontId="0" fillId="0" borderId="0" xfId="0" applyNumberFormat="1" applyFont="1" applyBorder="1" applyAlignment="1">
      <alignment vertical="center"/>
    </xf>
    <xf numFmtId="0" fontId="0" fillId="0" borderId="0" xfId="0" applyBorder="1" applyAlignment="1">
      <alignment horizontal="center"/>
    </xf>
    <xf numFmtId="0" fontId="0" fillId="0" borderId="0" xfId="0" applyFont="1" applyAlignment="1">
      <alignment vertical="top"/>
    </xf>
    <xf numFmtId="2" fontId="18" fillId="0" borderId="0" xfId="0" applyNumberFormat="1" applyFont="1" applyBorder="1" applyAlignment="1" quotePrefix="1">
      <alignment vertical="center"/>
    </xf>
    <xf numFmtId="0" fontId="0" fillId="0" borderId="0" xfId="0" applyFont="1" applyBorder="1" applyAlignment="1">
      <alignment vertical="center" wrapText="1"/>
    </xf>
    <xf numFmtId="0" fontId="0" fillId="0" borderId="0" xfId="0" applyFont="1" applyBorder="1" applyAlignment="1" quotePrefix="1">
      <alignment vertical="center"/>
    </xf>
    <xf numFmtId="1" fontId="0" fillId="0" borderId="0" xfId="0" applyNumberFormat="1"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2" fontId="5" fillId="0" borderId="0" xfId="0" applyNumberFormat="1" applyFont="1" applyBorder="1" applyAlignment="1">
      <alignment vertical="center"/>
    </xf>
    <xf numFmtId="2" fontId="18" fillId="0" borderId="0" xfId="0" applyNumberFormat="1" applyFont="1" applyBorder="1" applyAlignment="1">
      <alignment vertical="center"/>
    </xf>
    <xf numFmtId="165"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xf>
    <xf numFmtId="164" fontId="0" fillId="0" borderId="0" xfId="0" applyNumberFormat="1" applyFont="1" applyBorder="1" applyAlignment="1">
      <alignment horizontal="center" vertical="center"/>
    </xf>
    <xf numFmtId="1" fontId="18" fillId="0" borderId="0" xfId="0" applyNumberFormat="1" applyFont="1" applyBorder="1" applyAlignment="1">
      <alignment horizontal="center" vertical="center"/>
    </xf>
    <xf numFmtId="1" fontId="0" fillId="0" borderId="2" xfId="0" applyNumberFormat="1" applyFont="1" applyBorder="1" applyAlignment="1">
      <alignment horizontal="center" vertical="center"/>
    </xf>
    <xf numFmtId="2" fontId="5" fillId="0" borderId="0" xfId="0" applyNumberFormat="1" applyFont="1" applyBorder="1" applyAlignment="1">
      <alignment horizontal="center" vertical="center"/>
    </xf>
    <xf numFmtId="2" fontId="0" fillId="0" borderId="0" xfId="0" applyNumberFormat="1" applyFont="1" applyBorder="1" applyAlignment="1">
      <alignment horizontal="right" vertical="center"/>
    </xf>
    <xf numFmtId="0" fontId="1" fillId="0" borderId="0" xfId="0" applyFont="1" applyAlignment="1">
      <alignment horizontal="right" vertical="center"/>
    </xf>
    <xf numFmtId="2" fontId="0" fillId="2" borderId="0" xfId="0" applyNumberFormat="1" applyFill="1" applyAlignment="1">
      <alignment/>
    </xf>
    <xf numFmtId="1" fontId="1" fillId="2" borderId="0" xfId="0" applyNumberFormat="1" applyFont="1" applyFill="1" applyBorder="1" applyAlignment="1">
      <alignment horizontal="left" vertical="center"/>
    </xf>
    <xf numFmtId="2" fontId="0" fillId="0" borderId="0" xfId="0" applyNumberFormat="1" applyFont="1" applyFill="1" applyBorder="1" applyAlignment="1">
      <alignment vertical="center"/>
    </xf>
    <xf numFmtId="2" fontId="0" fillId="0" borderId="0" xfId="0" applyNumberFormat="1" applyAlignment="1">
      <alignment vertical="center"/>
    </xf>
    <xf numFmtId="1" fontId="1" fillId="0" borderId="0" xfId="0" applyNumberFormat="1" applyFont="1" applyFill="1" applyBorder="1" applyAlignment="1">
      <alignment horizontal="left" vertical="center"/>
    </xf>
    <xf numFmtId="2" fontId="0" fillId="0" borderId="0" xfId="0" applyNumberFormat="1" applyFill="1" applyAlignment="1">
      <alignment/>
    </xf>
    <xf numFmtId="0" fontId="0" fillId="0" borderId="0" xfId="0"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 fontId="0" fillId="0" borderId="0" xfId="0" applyNumberFormat="1" applyFont="1" applyFill="1" applyBorder="1" applyAlignment="1">
      <alignment vertical="center"/>
    </xf>
    <xf numFmtId="0" fontId="5" fillId="0" borderId="0" xfId="0" applyFont="1" applyFill="1" applyBorder="1" applyAlignment="1" quotePrefix="1">
      <alignment vertical="center"/>
    </xf>
    <xf numFmtId="165" fontId="0" fillId="0" borderId="0" xfId="0" applyNumberFormat="1" applyFont="1" applyFill="1" applyBorder="1" applyAlignment="1" quotePrefix="1">
      <alignment vertical="center"/>
    </xf>
    <xf numFmtId="0" fontId="0" fillId="0" borderId="0" xfId="0" applyFill="1" applyBorder="1" applyAlignment="1">
      <alignment horizontal="center" vertical="center"/>
    </xf>
    <xf numFmtId="1"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0" fontId="0" fillId="0" borderId="0" xfId="0" applyFont="1" applyFill="1" applyBorder="1" applyAlignment="1" quotePrefix="1">
      <alignment vertical="center"/>
    </xf>
    <xf numFmtId="2" fontId="18" fillId="0" borderId="0" xfId="0" applyNumberFormat="1" applyFont="1" applyFill="1" applyBorder="1" applyAlignment="1" quotePrefix="1">
      <alignment vertical="center"/>
    </xf>
    <xf numFmtId="0" fontId="0" fillId="0" borderId="0" xfId="0" applyFill="1" applyAlignment="1">
      <alignment horizontal="center" vertical="center"/>
    </xf>
    <xf numFmtId="0" fontId="0" fillId="0" borderId="2" xfId="0" applyBorder="1" applyAlignment="1">
      <alignment horizontal="center" vertical="center"/>
    </xf>
    <xf numFmtId="0" fontId="34" fillId="0" borderId="0" xfId="0" applyFont="1" applyAlignment="1">
      <alignment vertical="center"/>
    </xf>
    <xf numFmtId="0" fontId="34" fillId="0" borderId="0" xfId="0" applyFont="1" applyAlignment="1">
      <alignment/>
    </xf>
    <xf numFmtId="0" fontId="0" fillId="0" borderId="2" xfId="0" applyFont="1" applyBorder="1" applyAlignment="1">
      <alignment vertical="center"/>
    </xf>
    <xf numFmtId="2" fontId="5" fillId="0" borderId="0" xfId="0" applyNumberFormat="1" applyFont="1" applyAlignment="1">
      <alignment horizontal="center" vertical="center"/>
    </xf>
    <xf numFmtId="2" fontId="0" fillId="0" borderId="0" xfId="0" applyNumberFormat="1" applyBorder="1" applyAlignment="1">
      <alignment/>
    </xf>
    <xf numFmtId="0" fontId="23" fillId="0" borderId="0" xfId="0" applyFont="1" applyAlignment="1">
      <alignment horizontal="left"/>
    </xf>
    <xf numFmtId="0" fontId="36" fillId="0" borderId="0" xfId="0" applyFont="1" applyAlignment="1">
      <alignment vertical="center"/>
    </xf>
    <xf numFmtId="0" fontId="22" fillId="0" borderId="0" xfId="0" applyFont="1" applyAlignment="1">
      <alignment horizontal="center"/>
    </xf>
    <xf numFmtId="0" fontId="23" fillId="0" borderId="0" xfId="0" applyFont="1" applyFill="1" applyAlignment="1">
      <alignment horizontal="center" vertical="center"/>
    </xf>
    <xf numFmtId="0" fontId="23" fillId="0" borderId="0" xfId="0" applyFont="1" applyFill="1" applyAlignment="1">
      <alignment horizontal="center" vertical="center"/>
    </xf>
    <xf numFmtId="0" fontId="18" fillId="0" borderId="0" xfId="0" applyFont="1" applyAlignment="1">
      <alignment/>
    </xf>
    <xf numFmtId="0" fontId="0" fillId="3" borderId="4" xfId="0" applyFill="1" applyBorder="1" applyAlignment="1">
      <alignment horizontal="center" vertical="center"/>
    </xf>
    <xf numFmtId="0" fontId="20" fillId="3" borderId="6" xfId="0" applyFont="1" applyFill="1" applyBorder="1" applyAlignment="1">
      <alignment horizontal="center" vertical="center"/>
    </xf>
    <xf numFmtId="0" fontId="20" fillId="3" borderId="4" xfId="0" applyFont="1" applyFill="1" applyBorder="1" applyAlignment="1">
      <alignment horizontal="center" vertical="center"/>
    </xf>
    <xf numFmtId="2" fontId="0" fillId="3" borderId="4" xfId="0" applyNumberFormat="1" applyFill="1" applyBorder="1" applyAlignment="1">
      <alignment horizontal="center" vertical="center"/>
    </xf>
    <xf numFmtId="2" fontId="0" fillId="3" borderId="7" xfId="0" applyNumberFormat="1" applyFill="1" applyBorder="1" applyAlignment="1">
      <alignment horizontal="center" vertical="center"/>
    </xf>
    <xf numFmtId="0" fontId="0" fillId="3" borderId="4" xfId="0" applyFill="1" applyBorder="1" applyAlignment="1">
      <alignment horizontal="center"/>
    </xf>
    <xf numFmtId="0" fontId="3" fillId="4" borderId="6" xfId="0" applyFont="1" applyFill="1" applyBorder="1" applyAlignment="1">
      <alignment horizontal="center" vertical="center"/>
    </xf>
    <xf numFmtId="0" fontId="0" fillId="4" borderId="4" xfId="0" applyFill="1" applyBorder="1" applyAlignment="1">
      <alignment horizontal="center" vertical="center"/>
    </xf>
    <xf numFmtId="0" fontId="0" fillId="4" borderId="4" xfId="0" applyFill="1" applyBorder="1" applyAlignment="1">
      <alignment horizontal="center"/>
    </xf>
    <xf numFmtId="2" fontId="0" fillId="4" borderId="4" xfId="0" applyNumberFormat="1" applyFill="1" applyBorder="1" applyAlignment="1">
      <alignment horizontal="center" vertical="center"/>
    </xf>
    <xf numFmtId="2" fontId="0" fillId="4" borderId="4" xfId="0" applyNumberFormat="1" applyFill="1" applyBorder="1" applyAlignment="1">
      <alignment horizont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6" borderId="8"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2" fillId="6" borderId="8" xfId="0" applyFont="1" applyFill="1" applyBorder="1" applyAlignment="1">
      <alignment horizontal="center" vertical="center"/>
    </xf>
    <xf numFmtId="0" fontId="0" fillId="6" borderId="4" xfId="0" applyFill="1" applyBorder="1" applyAlignment="1" quotePrefix="1">
      <alignment horizontal="center" vertical="center"/>
    </xf>
    <xf numFmtId="0" fontId="2" fillId="7" borderId="4" xfId="0" applyFont="1" applyFill="1" applyBorder="1" applyAlignment="1">
      <alignment horizontal="left" vertical="center"/>
    </xf>
    <xf numFmtId="0" fontId="0" fillId="7" borderId="4" xfId="0" applyFill="1" applyBorder="1" applyAlignment="1">
      <alignment horizontal="left" vertical="center"/>
    </xf>
    <xf numFmtId="0" fontId="0" fillId="8" borderId="4" xfId="0" applyFill="1" applyBorder="1" applyAlignment="1">
      <alignment horizontal="center" vertical="center"/>
    </xf>
    <xf numFmtId="0" fontId="0" fillId="9" borderId="4" xfId="0" applyFill="1" applyBorder="1" applyAlignment="1">
      <alignment horizontal="center" vertical="center"/>
    </xf>
    <xf numFmtId="0" fontId="0" fillId="9" borderId="4" xfId="0" applyFill="1" applyBorder="1" applyAlignment="1">
      <alignment/>
    </xf>
    <xf numFmtId="0" fontId="0" fillId="9" borderId="0" xfId="0" applyFill="1" applyAlignment="1">
      <alignment/>
    </xf>
    <xf numFmtId="164" fontId="0" fillId="9" borderId="8" xfId="0" applyNumberFormat="1" applyFill="1" applyBorder="1" applyAlignment="1">
      <alignment horizontal="center" vertical="center"/>
    </xf>
    <xf numFmtId="1" fontId="0" fillId="9" borderId="4" xfId="0" applyNumberFormat="1" applyFill="1" applyBorder="1" applyAlignment="1">
      <alignment horizontal="center" vertical="center"/>
    </xf>
    <xf numFmtId="164" fontId="0" fillId="9" borderId="8" xfId="0" applyNumberFormat="1" applyFill="1" applyBorder="1" applyAlignment="1">
      <alignment horizontal="center"/>
    </xf>
    <xf numFmtId="0" fontId="0" fillId="10" borderId="4" xfId="0" applyFill="1" applyBorder="1" applyAlignment="1">
      <alignment horizontal="center" vertical="center"/>
    </xf>
    <xf numFmtId="0" fontId="0" fillId="11" borderId="4" xfId="0" applyFill="1" applyBorder="1" applyAlignment="1">
      <alignment horizontal="left" vertical="center"/>
    </xf>
    <xf numFmtId="0" fontId="0" fillId="11" borderId="4" xfId="0" applyFill="1" applyBorder="1" applyAlignment="1">
      <alignment horizontal="center" vertical="center"/>
    </xf>
    <xf numFmtId="0" fontId="11" fillId="11" borderId="4" xfId="0" applyFont="1" applyFill="1" applyBorder="1" applyAlignment="1">
      <alignment horizontal="left" vertical="center"/>
    </xf>
    <xf numFmtId="0" fontId="0" fillId="11" borderId="4" xfId="0" applyFont="1" applyFill="1" applyBorder="1" applyAlignment="1">
      <alignment horizontal="left" vertical="center" wrapText="1"/>
    </xf>
    <xf numFmtId="0" fontId="0" fillId="11" borderId="4" xfId="0" applyFill="1" applyBorder="1" applyAlignment="1">
      <alignment horizontal="center"/>
    </xf>
    <xf numFmtId="0" fontId="0" fillId="11" borderId="0" xfId="0" applyFill="1" applyAlignment="1">
      <alignment horizontal="center"/>
    </xf>
    <xf numFmtId="0" fontId="3" fillId="0" borderId="4" xfId="0" applyFont="1" applyBorder="1" applyAlignment="1">
      <alignment horizontal="left" vertical="center"/>
    </xf>
    <xf numFmtId="0" fontId="0" fillId="0" borderId="4" xfId="0" applyFont="1" applyBorder="1" applyAlignment="1">
      <alignment horizontal="left" vertical="center"/>
    </xf>
    <xf numFmtId="0" fontId="0" fillId="0" borderId="0" xfId="0" applyFill="1" applyBorder="1" applyAlignment="1">
      <alignment vertical="center"/>
    </xf>
    <xf numFmtId="1" fontId="23" fillId="0" borderId="0" xfId="0" applyNumberFormat="1" applyFont="1" applyFill="1" applyAlignment="1">
      <alignment horizontal="center" vertical="center"/>
    </xf>
    <xf numFmtId="2" fontId="0" fillId="8" borderId="0" xfId="0" applyNumberFormat="1" applyFont="1" applyFill="1" applyAlignment="1">
      <alignment/>
    </xf>
    <xf numFmtId="0" fontId="23" fillId="8" borderId="0" xfId="0" applyFont="1" applyFill="1" applyAlignment="1">
      <alignment/>
    </xf>
    <xf numFmtId="0" fontId="0" fillId="8" borderId="0" xfId="0" applyFont="1" applyFill="1" applyAlignment="1">
      <alignment/>
    </xf>
    <xf numFmtId="0" fontId="0" fillId="8" borderId="0" xfId="0" applyFill="1" applyAlignment="1">
      <alignment/>
    </xf>
    <xf numFmtId="1" fontId="5" fillId="0" borderId="0" xfId="0" applyNumberFormat="1" applyFont="1" applyAlignment="1">
      <alignment horizontal="center" vertical="center"/>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9" xfId="0" applyFont="1" applyFill="1" applyBorder="1" applyAlignment="1">
      <alignment horizontal="center"/>
    </xf>
    <xf numFmtId="1" fontId="0" fillId="0" borderId="0" xfId="0" applyNumberFormat="1" applyAlignment="1">
      <alignment horizontal="left"/>
    </xf>
    <xf numFmtId="0" fontId="0"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0" fillId="4" borderId="1" xfId="0" applyFont="1" applyFill="1" applyBorder="1" applyAlignment="1" quotePrefix="1">
      <alignment/>
    </xf>
    <xf numFmtId="0" fontId="0" fillId="4" borderId="11" xfId="0" applyFont="1" applyFill="1" applyBorder="1" applyAlignment="1">
      <alignment/>
    </xf>
    <xf numFmtId="0" fontId="0" fillId="4" borderId="12" xfId="0" applyFont="1" applyFill="1" applyBorder="1" applyAlignment="1">
      <alignment/>
    </xf>
    <xf numFmtId="0" fontId="0" fillId="4" borderId="2" xfId="20" applyFont="1" applyFill="1" applyBorder="1" applyAlignment="1">
      <alignment/>
    </xf>
    <xf numFmtId="0" fontId="0" fillId="4" borderId="5" xfId="0" applyFont="1" applyFill="1" applyBorder="1" applyAlignment="1" quotePrefix="1">
      <alignment/>
    </xf>
    <xf numFmtId="0" fontId="0" fillId="4" borderId="6" xfId="0" applyFont="1" applyFill="1" applyBorder="1" applyAlignment="1">
      <alignment/>
    </xf>
    <xf numFmtId="0" fontId="0" fillId="4" borderId="5" xfId="20" applyFont="1" applyFill="1" applyBorder="1" applyAlignment="1">
      <alignment/>
    </xf>
    <xf numFmtId="0" fontId="0" fillId="4" borderId="5" xfId="0" applyFont="1" applyFill="1" applyBorder="1" applyAlignment="1">
      <alignment/>
    </xf>
    <xf numFmtId="0" fontId="14" fillId="4" borderId="2" xfId="20" applyFont="1" applyFill="1" applyBorder="1" applyAlignment="1">
      <alignment/>
    </xf>
    <xf numFmtId="0" fontId="12" fillId="2" borderId="10" xfId="0" applyFont="1" applyFill="1" applyBorder="1" applyAlignment="1">
      <alignment horizontal="center"/>
    </xf>
    <xf numFmtId="1" fontId="38" fillId="4" borderId="10" xfId="0" applyNumberFormat="1" applyFont="1" applyFill="1" applyBorder="1" applyAlignment="1">
      <alignment horizontal="center"/>
    </xf>
    <xf numFmtId="1" fontId="38" fillId="4" borderId="7" xfId="0" applyNumberFormat="1" applyFont="1" applyFill="1" applyBorder="1" applyAlignment="1">
      <alignment horizontal="center"/>
    </xf>
    <xf numFmtId="1" fontId="38" fillId="4" borderId="9" xfId="0" applyNumberFormat="1" applyFont="1" applyFill="1" applyBorder="1" applyAlignment="1">
      <alignment horizontal="center"/>
    </xf>
    <xf numFmtId="2" fontId="0" fillId="8" borderId="0" xfId="0" applyNumberFormat="1" applyFill="1" applyAlignment="1">
      <alignment horizontal="center"/>
    </xf>
    <xf numFmtId="0" fontId="0" fillId="8" borderId="0" xfId="0" applyFill="1" applyAlignment="1">
      <alignment horizontal="center"/>
    </xf>
    <xf numFmtId="0" fontId="0" fillId="8" borderId="0" xfId="0" applyFill="1" applyAlignment="1">
      <alignment/>
    </xf>
    <xf numFmtId="0" fontId="0" fillId="8" borderId="0" xfId="0" applyFill="1" applyBorder="1" applyAlignment="1">
      <alignment/>
    </xf>
    <xf numFmtId="0" fontId="0" fillId="8" borderId="0" xfId="0" applyFill="1" applyBorder="1" applyAlignment="1">
      <alignment horizontal="center"/>
    </xf>
    <xf numFmtId="0" fontId="12" fillId="8" borderId="0" xfId="0" applyFont="1" applyFill="1" applyBorder="1" applyAlignment="1">
      <alignment/>
    </xf>
    <xf numFmtId="0" fontId="12" fillId="8" borderId="0" xfId="0" applyFont="1" applyFill="1" applyBorder="1" applyAlignment="1">
      <alignment/>
    </xf>
    <xf numFmtId="2" fontId="0" fillId="8" borderId="0" xfId="0" applyNumberFormat="1" applyFill="1" applyAlignment="1">
      <alignment/>
    </xf>
    <xf numFmtId="0" fontId="0" fillId="8" borderId="0" xfId="0" applyNumberFormat="1" applyFill="1" applyAlignment="1">
      <alignment/>
    </xf>
    <xf numFmtId="2" fontId="0" fillId="8" borderId="0" xfId="0" applyNumberFormat="1" applyFill="1" applyAlignment="1">
      <alignment vertical="center"/>
    </xf>
    <xf numFmtId="2" fontId="0" fillId="8" borderId="0" xfId="0" applyNumberFormat="1" applyFill="1" applyAlignment="1">
      <alignment horizontal="center" vertical="center"/>
    </xf>
    <xf numFmtId="0" fontId="0" fillId="8" borderId="1" xfId="0" applyFill="1" applyBorder="1" applyAlignment="1">
      <alignment/>
    </xf>
    <xf numFmtId="2" fontId="23" fillId="8" borderId="0" xfId="0" applyNumberFormat="1" applyFont="1" applyFill="1" applyAlignment="1">
      <alignment horizontal="center" vertical="center" textRotation="90"/>
    </xf>
    <xf numFmtId="165" fontId="1" fillId="8" borderId="0" xfId="0" applyNumberFormat="1" applyFont="1" applyFill="1" applyBorder="1" applyAlignment="1">
      <alignment vertical="center"/>
    </xf>
    <xf numFmtId="0" fontId="0" fillId="8" borderId="1" xfId="0" applyFill="1" applyBorder="1" applyAlignment="1">
      <alignment horizontal="center"/>
    </xf>
    <xf numFmtId="2" fontId="0" fillId="4"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2" fontId="1" fillId="2" borderId="4" xfId="0" applyNumberFormat="1" applyFont="1" applyFill="1" applyBorder="1" applyAlignment="1">
      <alignment horizontal="center" vertical="center"/>
    </xf>
    <xf numFmtId="0" fontId="0" fillId="4" borderId="1" xfId="0" applyFont="1" applyFill="1" applyBorder="1" applyAlignment="1" quotePrefix="1">
      <alignment vertical="center"/>
    </xf>
    <xf numFmtId="0" fontId="0" fillId="4" borderId="12" xfId="0" applyFont="1" applyFill="1" applyBorder="1" applyAlignment="1">
      <alignment vertical="center"/>
    </xf>
    <xf numFmtId="0" fontId="0" fillId="4" borderId="11" xfId="0" applyFont="1" applyFill="1" applyBorder="1" applyAlignment="1">
      <alignment vertical="center"/>
    </xf>
    <xf numFmtId="0" fontId="0" fillId="4" borderId="13" xfId="0" applyFill="1" applyBorder="1" applyAlignment="1">
      <alignment/>
    </xf>
    <xf numFmtId="0" fontId="2" fillId="4" borderId="11" xfId="0" applyFont="1" applyFill="1" applyBorder="1" applyAlignment="1">
      <alignment/>
    </xf>
    <xf numFmtId="0" fontId="23" fillId="0" borderId="0" xfId="0" applyFont="1" applyAlignment="1">
      <alignment horizontal="center" vertical="center"/>
    </xf>
    <xf numFmtId="0" fontId="14" fillId="0" borderId="0" xfId="0" applyFont="1" applyAlignment="1">
      <alignment horizontal="center" vertical="center" wrapText="1"/>
    </xf>
    <xf numFmtId="0" fontId="9" fillId="2" borderId="10" xfId="0" applyFont="1" applyFill="1" applyBorder="1" applyAlignment="1">
      <alignment horizontal="center"/>
    </xf>
    <xf numFmtId="1" fontId="1" fillId="0" borderId="0" xfId="0" applyNumberFormat="1" applyFont="1" applyAlignment="1" quotePrefix="1">
      <alignment horizontal="center" vertical="center"/>
    </xf>
    <xf numFmtId="1" fontId="0" fillId="0" borderId="0" xfId="0" applyNumberFormat="1" applyFont="1" applyAlignment="1" quotePrefix="1">
      <alignment horizontal="center" vertical="center"/>
    </xf>
    <xf numFmtId="0" fontId="5" fillId="0" borderId="0" xfId="0" applyFont="1" applyAlignment="1" quotePrefix="1">
      <alignment horizontal="center" vertical="center"/>
    </xf>
    <xf numFmtId="165" fontId="0" fillId="0" borderId="5" xfId="0" applyNumberFormat="1" applyBorder="1" applyAlignment="1">
      <alignment horizontal="center" vertical="center"/>
    </xf>
    <xf numFmtId="2" fontId="40" fillId="0" borderId="0" xfId="0" applyNumberFormat="1" applyFont="1" applyAlignment="1">
      <alignment horizontal="center" vertical="center"/>
    </xf>
    <xf numFmtId="0" fontId="35" fillId="0" borderId="0" xfId="0" applyFont="1" applyAlignment="1">
      <alignment horizontal="center"/>
    </xf>
    <xf numFmtId="165" fontId="0" fillId="0" borderId="4" xfId="0" applyNumberFormat="1" applyBorder="1" applyAlignment="1">
      <alignment horizontal="center"/>
    </xf>
    <xf numFmtId="0" fontId="0" fillId="9" borderId="3" xfId="0" applyFill="1" applyBorder="1" applyAlignment="1">
      <alignment horizontal="center"/>
    </xf>
    <xf numFmtId="165" fontId="0" fillId="3" borderId="4" xfId="0" applyNumberFormat="1" applyFill="1" applyBorder="1" applyAlignment="1">
      <alignment horizontal="center"/>
    </xf>
    <xf numFmtId="0" fontId="0" fillId="8" borderId="4" xfId="0" applyFill="1" applyBorder="1" applyAlignment="1">
      <alignment horizontal="center"/>
    </xf>
    <xf numFmtId="165" fontId="0" fillId="8" borderId="4" xfId="0" applyNumberFormat="1" applyFill="1" applyBorder="1" applyAlignment="1">
      <alignment horizontal="center"/>
    </xf>
    <xf numFmtId="0" fontId="0" fillId="0" borderId="0" xfId="0" applyFill="1" applyBorder="1" applyAlignment="1">
      <alignment/>
    </xf>
    <xf numFmtId="0" fontId="0" fillId="0" borderId="14" xfId="0" applyFill="1" applyBorder="1" applyAlignment="1">
      <alignment horizontal="center"/>
    </xf>
    <xf numFmtId="0" fontId="0" fillId="0" borderId="0" xfId="0" applyFill="1" applyBorder="1" applyAlignment="1">
      <alignment horizontal="center"/>
    </xf>
    <xf numFmtId="0" fontId="0" fillId="4" borderId="8" xfId="0" applyFill="1" applyBorder="1" applyAlignment="1">
      <alignment horizontal="center"/>
    </xf>
    <xf numFmtId="165" fontId="0" fillId="4" borderId="8" xfId="0" applyNumberFormat="1" applyFill="1" applyBorder="1" applyAlignment="1">
      <alignment horizontal="center"/>
    </xf>
    <xf numFmtId="0" fontId="0" fillId="0" borderId="0" xfId="0" applyFill="1" applyBorder="1" applyAlignment="1">
      <alignment/>
    </xf>
    <xf numFmtId="165" fontId="0" fillId="0" borderId="0" xfId="0" applyNumberFormat="1" applyFill="1" applyBorder="1" applyAlignment="1">
      <alignment horizontal="center"/>
    </xf>
    <xf numFmtId="0" fontId="0" fillId="0" borderId="2" xfId="0" applyBorder="1" applyAlignment="1">
      <alignment/>
    </xf>
    <xf numFmtId="0" fontId="7" fillId="0" borderId="0" xfId="0" applyFont="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2" xfId="0" applyBorder="1" applyAlignment="1" quotePrefix="1">
      <alignment horizontal="center"/>
    </xf>
    <xf numFmtId="165" fontId="0" fillId="0" borderId="0" xfId="0" applyNumberFormat="1" applyFont="1" applyAlignment="1">
      <alignment horizontal="center" vertical="center"/>
    </xf>
    <xf numFmtId="165" fontId="0" fillId="0" borderId="2" xfId="0" applyNumberFormat="1" applyBorder="1" applyAlignment="1" quotePrefix="1">
      <alignment horizontal="center" vertical="center"/>
    </xf>
    <xf numFmtId="0" fontId="0" fillId="0" borderId="2" xfId="0" applyBorder="1" applyAlignment="1" quotePrefix="1">
      <alignment horizontal="left"/>
    </xf>
    <xf numFmtId="165" fontId="0" fillId="0" borderId="5" xfId="0" applyNumberFormat="1" applyBorder="1" applyAlignment="1">
      <alignment vertical="center"/>
    </xf>
    <xf numFmtId="0" fontId="0" fillId="0" borderId="0" xfId="0" applyFont="1" applyAlignment="1">
      <alignment horizontal="right" vertical="center" wrapText="1"/>
    </xf>
    <xf numFmtId="0" fontId="4" fillId="0" borderId="0" xfId="0" applyFont="1" applyAlignment="1">
      <alignment horizontal="center" vertical="center" wrapText="1"/>
    </xf>
    <xf numFmtId="2" fontId="18" fillId="0" borderId="0" xfId="0" applyNumberFormat="1" applyFont="1" applyAlignment="1">
      <alignment horizontal="center" vertical="center"/>
    </xf>
    <xf numFmtId="1" fontId="5" fillId="0" borderId="2" xfId="0" applyNumberFormat="1" applyFont="1" applyBorder="1" applyAlignment="1">
      <alignment horizontal="center" vertical="center"/>
    </xf>
    <xf numFmtId="1" fontId="0" fillId="0" borderId="2" xfId="0" applyNumberFormat="1" applyFont="1" applyBorder="1" applyAlignment="1">
      <alignment vertical="center"/>
    </xf>
    <xf numFmtId="0" fontId="7" fillId="3" borderId="6" xfId="0" applyFont="1" applyFill="1" applyBorder="1" applyAlignment="1">
      <alignment vertical="center"/>
    </xf>
    <xf numFmtId="0" fontId="3" fillId="3" borderId="8" xfId="0" applyFont="1" applyFill="1" applyBorder="1" applyAlignment="1">
      <alignment horizontal="right" vertical="center"/>
    </xf>
    <xf numFmtId="0" fontId="0" fillId="0" borderId="0" xfId="0" applyAlignment="1" quotePrefix="1">
      <alignment vertical="center" wrapText="1"/>
    </xf>
    <xf numFmtId="2" fontId="0" fillId="0" borderId="0" xfId="0" applyNumberFormat="1" applyAlignment="1">
      <alignment vertical="center" wrapText="1"/>
    </xf>
    <xf numFmtId="0" fontId="0" fillId="0" borderId="0" xfId="0" applyAlignment="1" quotePrefix="1">
      <alignment horizontal="center" vertical="center" wrapText="1"/>
    </xf>
    <xf numFmtId="2" fontId="0" fillId="0" borderId="0" xfId="0" applyNumberFormat="1" applyAlignment="1">
      <alignment horizontal="center" vertical="center" wrapText="1"/>
    </xf>
    <xf numFmtId="0" fontId="0" fillId="0" borderId="6" xfId="0" applyFont="1" applyBorder="1" applyAlignment="1" quotePrefix="1">
      <alignment horizontal="center" vertical="center"/>
    </xf>
    <xf numFmtId="2" fontId="0" fillId="0" borderId="8" xfId="0" applyNumberFormat="1" applyFont="1" applyBorder="1" applyAlignment="1" quotePrefix="1">
      <alignment horizontal="center" vertical="center"/>
    </xf>
    <xf numFmtId="0" fontId="23" fillId="0" borderId="0" xfId="0" applyFont="1" applyAlignment="1">
      <alignment vertical="center" wrapText="1"/>
    </xf>
    <xf numFmtId="0" fontId="23" fillId="0" borderId="0" xfId="0" applyFont="1" applyAlignment="1">
      <alignment vertical="center"/>
    </xf>
    <xf numFmtId="0" fontId="0" fillId="0" borderId="2" xfId="0" applyFont="1" applyBorder="1" applyAlignment="1">
      <alignment horizontal="right" vertical="center"/>
    </xf>
    <xf numFmtId="0" fontId="23" fillId="0" borderId="0" xfId="0" applyFont="1" applyAlignment="1">
      <alignment/>
    </xf>
    <xf numFmtId="1" fontId="23" fillId="0" borderId="0" xfId="0" applyNumberFormat="1" applyFont="1" applyAlignment="1">
      <alignment horizontal="left" vertical="center"/>
    </xf>
    <xf numFmtId="0" fontId="23" fillId="0" borderId="0" xfId="0" applyFont="1" applyAlignment="1">
      <alignment vertical="center"/>
    </xf>
    <xf numFmtId="0" fontId="23" fillId="0" borderId="0" xfId="0" applyFont="1" applyFill="1" applyAlignment="1">
      <alignment horizontal="left" vertical="center"/>
    </xf>
    <xf numFmtId="1" fontId="23" fillId="0" borderId="0" xfId="0" applyNumberFormat="1" applyFont="1" applyAlignment="1">
      <alignment horizontal="center" vertical="center"/>
    </xf>
    <xf numFmtId="2" fontId="23" fillId="0" borderId="0" xfId="0" applyNumberFormat="1" applyFont="1" applyAlignment="1">
      <alignment horizontal="center"/>
    </xf>
    <xf numFmtId="1" fontId="39" fillId="0" borderId="0" xfId="0" applyNumberFormat="1" applyFont="1" applyAlignment="1">
      <alignment horizont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quotePrefix="1">
      <alignment horizontal="center" vertical="center"/>
    </xf>
    <xf numFmtId="0" fontId="23" fillId="0" borderId="0" xfId="0" applyFont="1" applyBorder="1" applyAlignment="1">
      <alignment horizontal="left" vertical="center"/>
    </xf>
    <xf numFmtId="1" fontId="23" fillId="0" borderId="0" xfId="0" applyNumberFormat="1" applyFont="1" applyBorder="1" applyAlignment="1">
      <alignment horizontal="center" vertical="center"/>
    </xf>
    <xf numFmtId="0" fontId="23" fillId="0" borderId="0" xfId="0" applyFont="1" applyAlignment="1">
      <alignment horizontal="center"/>
    </xf>
    <xf numFmtId="1" fontId="53" fillId="0" borderId="0" xfId="0" applyNumberFormat="1" applyFont="1" applyBorder="1" applyAlignment="1" quotePrefix="1">
      <alignment horizontal="center" vertical="center"/>
    </xf>
    <xf numFmtId="0" fontId="23" fillId="0" borderId="0" xfId="0" applyFont="1" applyBorder="1" applyAlignment="1">
      <alignment horizontal="right" vertical="center"/>
    </xf>
    <xf numFmtId="2" fontId="54" fillId="0" borderId="0" xfId="0" applyNumberFormat="1" applyFont="1" applyBorder="1" applyAlignment="1">
      <alignment horizontal="center" vertical="center"/>
    </xf>
    <xf numFmtId="165" fontId="23" fillId="0" borderId="0" xfId="0" applyNumberFormat="1" applyFont="1" applyBorder="1" applyAlignment="1">
      <alignment horizontal="center" vertical="center"/>
    </xf>
    <xf numFmtId="167" fontId="23" fillId="0" borderId="0" xfId="0" applyNumberFormat="1" applyFont="1" applyBorder="1" applyAlignment="1">
      <alignment vertical="center"/>
    </xf>
    <xf numFmtId="1" fontId="0" fillId="0" borderId="0" xfId="0" applyNumberFormat="1" applyFont="1" applyAlignment="1">
      <alignment horizontal="left" vertical="center"/>
    </xf>
    <xf numFmtId="2" fontId="0" fillId="0" borderId="0" xfId="0" applyNumberFormat="1" applyFont="1" applyAlignment="1">
      <alignment vertical="center"/>
    </xf>
    <xf numFmtId="2"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quotePrefix="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quotePrefix="1">
      <alignment horizontal="center" vertical="center"/>
    </xf>
    <xf numFmtId="2" fontId="18" fillId="0" borderId="1" xfId="0" applyNumberFormat="1" applyFont="1" applyBorder="1" applyAlignment="1">
      <alignment horizontal="center" vertical="center"/>
    </xf>
    <xf numFmtId="1" fontId="0" fillId="0" borderId="1" xfId="0" applyNumberFormat="1" applyFont="1" applyBorder="1" applyAlignment="1" quotePrefix="1">
      <alignment horizontal="left" vertical="center"/>
    </xf>
    <xf numFmtId="2" fontId="0" fillId="0" borderId="1" xfId="0" applyNumberFormat="1" applyFont="1" applyBorder="1" applyAlignment="1">
      <alignment horizontal="center" vertical="center"/>
    </xf>
    <xf numFmtId="2" fontId="0" fillId="0" borderId="0" xfId="0" applyNumberFormat="1" applyFont="1" applyAlignment="1">
      <alignment horizontal="center"/>
    </xf>
    <xf numFmtId="0" fontId="0" fillId="0" borderId="2" xfId="0" applyFont="1" applyBorder="1" applyAlignment="1">
      <alignment horizontal="center"/>
    </xf>
    <xf numFmtId="2" fontId="5" fillId="0" borderId="0" xfId="0" applyNumberFormat="1" applyFont="1" applyAlignment="1">
      <alignment horizontal="center" vertical="center" wrapText="1"/>
    </xf>
    <xf numFmtId="2" fontId="5" fillId="0" borderId="0" xfId="0" applyNumberFormat="1" applyFont="1" applyAlignment="1">
      <alignment vertical="center" wrapText="1"/>
    </xf>
    <xf numFmtId="1" fontId="18" fillId="0" borderId="2" xfId="0" applyNumberFormat="1" applyFont="1" applyBorder="1" applyAlignment="1" quotePrefix="1">
      <alignment horizontal="center" vertical="center"/>
    </xf>
    <xf numFmtId="1" fontId="23" fillId="0" borderId="0" xfId="0" applyNumberFormat="1" applyFont="1" applyAlignment="1">
      <alignment horizontal="right" vertical="center"/>
    </xf>
    <xf numFmtId="0" fontId="0" fillId="0" borderId="0" xfId="0" applyFont="1" applyAlignment="1">
      <alignment/>
    </xf>
    <xf numFmtId="164" fontId="0" fillId="0" borderId="0" xfId="0" applyNumberFormat="1" applyFont="1" applyAlignment="1">
      <alignment vertical="center"/>
    </xf>
    <xf numFmtId="1" fontId="23" fillId="0" borderId="0" xfId="0" applyNumberFormat="1" applyFont="1" applyAlignment="1">
      <alignment horizontal="center"/>
    </xf>
    <xf numFmtId="1" fontId="1" fillId="0" borderId="0" xfId="0" applyNumberFormat="1" applyFont="1" applyAlignment="1">
      <alignment horizontal="center"/>
    </xf>
    <xf numFmtId="0" fontId="0" fillId="0" borderId="0" xfId="0" applyFont="1" applyFill="1" applyAlignment="1">
      <alignment horizontal="center" vertical="center"/>
    </xf>
    <xf numFmtId="0" fontId="0" fillId="0" borderId="0" xfId="0" applyFont="1" applyAlignment="1">
      <alignment horizontal="right" vertical="center"/>
    </xf>
    <xf numFmtId="1" fontId="1" fillId="0" borderId="0" xfId="0" applyNumberFormat="1" applyFont="1" applyBorder="1" applyAlignment="1">
      <alignment horizontal="center" vertical="center"/>
    </xf>
    <xf numFmtId="0" fontId="23" fillId="0" borderId="0" xfId="0" applyFont="1" applyFill="1" applyBorder="1" applyAlignment="1">
      <alignment horizontal="center" vertical="center" wrapText="1"/>
    </xf>
    <xf numFmtId="0" fontId="0" fillId="0" borderId="0" xfId="0" applyFont="1" applyBorder="1" applyAlignment="1" quotePrefix="1">
      <alignment horizontal="center" vertical="center"/>
    </xf>
    <xf numFmtId="1" fontId="0" fillId="0" borderId="0" xfId="0" applyNumberFormat="1" applyFont="1" applyBorder="1" applyAlignment="1" quotePrefix="1">
      <alignment horizontal="center" vertical="center"/>
    </xf>
    <xf numFmtId="0" fontId="5" fillId="0" borderId="0" xfId="0" applyFont="1" applyBorder="1" applyAlignment="1" quotePrefix="1">
      <alignment horizontal="center" vertical="center"/>
    </xf>
    <xf numFmtId="0" fontId="0" fillId="0" borderId="0" xfId="0" applyFont="1" applyAlignment="1">
      <alignment horizontal="center"/>
    </xf>
    <xf numFmtId="0" fontId="4" fillId="0" borderId="0" xfId="0" applyFont="1" applyBorder="1" applyAlignment="1">
      <alignment horizontal="center" vertical="center"/>
    </xf>
    <xf numFmtId="0" fontId="20" fillId="3" borderId="3" xfId="0" applyFont="1" applyFill="1" applyBorder="1" applyAlignment="1">
      <alignment horizontal="center" vertical="top"/>
    </xf>
    <xf numFmtId="0" fontId="6" fillId="3" borderId="13" xfId="0" applyFont="1" applyFill="1" applyBorder="1" applyAlignment="1">
      <alignment horizontal="center" vertical="center"/>
    </xf>
    <xf numFmtId="1" fontId="1" fillId="0" borderId="0" xfId="0" applyNumberFormat="1" applyFont="1" applyAlignment="1">
      <alignment horizontal="center" vertical="center"/>
    </xf>
    <xf numFmtId="2" fontId="1" fillId="0" borderId="0" xfId="0" applyNumberFormat="1" applyFont="1" applyAlignment="1">
      <alignment horizontal="center" vertical="center"/>
    </xf>
    <xf numFmtId="0" fontId="0" fillId="0" borderId="0" xfId="0" applyFont="1" applyAlignment="1">
      <alignment horizontal="left" vertical="center"/>
    </xf>
    <xf numFmtId="1" fontId="0" fillId="0" borderId="1" xfId="0" applyNumberFormat="1" applyFont="1" applyBorder="1" applyAlignment="1">
      <alignment horizontal="center" vertical="center"/>
    </xf>
    <xf numFmtId="1" fontId="0" fillId="0" borderId="2" xfId="0" applyNumberFormat="1" applyFont="1" applyBorder="1" applyAlignment="1">
      <alignment horizontal="center" vertical="center"/>
    </xf>
    <xf numFmtId="1" fontId="0" fillId="0" borderId="0" xfId="0" applyNumberFormat="1" applyFont="1" applyAlignment="1" quotePrefix="1">
      <alignment horizontal="center" vertical="center"/>
    </xf>
    <xf numFmtId="2" fontId="5"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applyAlignment="1">
      <alignment horizontal="center"/>
    </xf>
    <xf numFmtId="0" fontId="0" fillId="0" borderId="1" xfId="0" applyFont="1" applyBorder="1" applyAlignment="1">
      <alignment horizontal="center" vertical="center"/>
    </xf>
    <xf numFmtId="1" fontId="18" fillId="0" borderId="0" xfId="0" applyNumberFormat="1" applyFont="1" applyAlignment="1" quotePrefix="1">
      <alignment horizontal="center" vertical="center"/>
    </xf>
    <xf numFmtId="1" fontId="18" fillId="0" borderId="1" xfId="0" applyNumberFormat="1" applyFont="1" applyBorder="1" applyAlignment="1">
      <alignment horizontal="center" vertical="center"/>
    </xf>
    <xf numFmtId="0" fontId="2" fillId="0" borderId="0" xfId="0" applyFont="1" applyAlignment="1">
      <alignment horizontal="right" vertical="center"/>
    </xf>
    <xf numFmtId="2" fontId="0" fillId="0" borderId="0" xfId="0" applyNumberFormat="1" applyFont="1" applyAlignment="1">
      <alignment vertical="center"/>
    </xf>
    <xf numFmtId="0" fontId="2" fillId="0" borderId="0" xfId="0" applyFont="1" applyAlignment="1">
      <alignment horizontal="left" vertical="center"/>
    </xf>
    <xf numFmtId="2" fontId="0" fillId="0" borderId="0" xfId="0" applyNumberFormat="1" applyFont="1" applyAlignment="1">
      <alignment/>
    </xf>
    <xf numFmtId="0" fontId="17" fillId="0" borderId="0" xfId="0" applyFont="1" applyAlignment="1">
      <alignment horizontal="center" vertical="center"/>
    </xf>
    <xf numFmtId="0" fontId="0" fillId="0" borderId="2" xfId="0" applyFont="1" applyBorder="1" applyAlignment="1">
      <alignment vertical="center"/>
    </xf>
    <xf numFmtId="1" fontId="0" fillId="0" borderId="2" xfId="0" applyNumberFormat="1" applyFont="1" applyBorder="1" applyAlignment="1">
      <alignment vertical="center"/>
    </xf>
    <xf numFmtId="0" fontId="0" fillId="0" borderId="1" xfId="0" applyFont="1" applyBorder="1" applyAlignment="1">
      <alignment/>
    </xf>
    <xf numFmtId="0" fontId="0" fillId="0" borderId="1" xfId="0" applyFont="1" applyBorder="1" applyAlignment="1">
      <alignment horizontal="center"/>
    </xf>
    <xf numFmtId="164" fontId="0" fillId="0" borderId="0" xfId="0" applyNumberFormat="1" applyFont="1" applyAlignment="1">
      <alignment horizontal="center" vertical="center"/>
    </xf>
    <xf numFmtId="1" fontId="0" fillId="0" borderId="2" xfId="0" applyNumberFormat="1" applyFont="1" applyBorder="1" applyAlignment="1">
      <alignment horizontal="center" vertical="center"/>
    </xf>
    <xf numFmtId="1" fontId="0" fillId="0" borderId="0" xfId="0" applyNumberFormat="1" applyFont="1" applyAlignment="1">
      <alignment horizontal="center"/>
    </xf>
    <xf numFmtId="0" fontId="0" fillId="0" borderId="0" xfId="0" applyFont="1" applyAlignment="1" quotePrefix="1">
      <alignment horizontal="center"/>
    </xf>
    <xf numFmtId="0" fontId="0" fillId="3" borderId="8" xfId="0" applyFont="1" applyFill="1" applyBorder="1" applyAlignment="1">
      <alignment horizontal="right" vertical="center"/>
    </xf>
    <xf numFmtId="0" fontId="0" fillId="0" borderId="0" xfId="0" applyFont="1" applyAlignment="1" quotePrefix="1">
      <alignment horizontal="left" vertical="center"/>
    </xf>
    <xf numFmtId="2" fontId="0" fillId="0" borderId="2" xfId="0" applyNumberFormat="1" applyFont="1" applyBorder="1" applyAlignment="1">
      <alignment horizontal="center" vertical="center"/>
    </xf>
    <xf numFmtId="0" fontId="0" fillId="0" borderId="0" xfId="0" applyFont="1"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quotePrefix="1">
      <alignment horizontal="center" vertical="center"/>
    </xf>
    <xf numFmtId="1" fontId="18" fillId="0" borderId="0" xfId="0" applyNumberFormat="1" applyFont="1" applyBorder="1" applyAlignment="1" quotePrefix="1">
      <alignment horizontal="center" vertical="center"/>
    </xf>
    <xf numFmtId="0" fontId="0" fillId="0" borderId="2" xfId="0" applyFont="1" applyBorder="1" applyAlignment="1" quotePrefix="1">
      <alignment horizontal="center" vertical="center"/>
    </xf>
    <xf numFmtId="2" fontId="0"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 fontId="0" fillId="0" borderId="0" xfId="0" applyNumberFormat="1" applyFont="1" applyBorder="1" applyAlignment="1" quotePrefix="1">
      <alignment horizontal="center" vertical="center" wrapText="1"/>
    </xf>
    <xf numFmtId="0" fontId="0" fillId="3" borderId="8" xfId="0" applyFont="1" applyFill="1" applyBorder="1" applyAlignment="1">
      <alignment horizontal="center" vertical="center"/>
    </xf>
    <xf numFmtId="2" fontId="0" fillId="3" borderId="8" xfId="0" applyNumberFormat="1" applyFill="1" applyBorder="1" applyAlignment="1">
      <alignment horizontal="center" vertical="center"/>
    </xf>
    <xf numFmtId="0" fontId="23" fillId="0" borderId="0" xfId="0" applyFont="1" applyFill="1" applyAlignment="1" quotePrefix="1">
      <alignment vertical="center"/>
    </xf>
    <xf numFmtId="0" fontId="23" fillId="0" borderId="0" xfId="0" applyFont="1" applyFill="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3" borderId="3" xfId="0" applyFont="1" applyFill="1" applyBorder="1" applyAlignment="1">
      <alignment horizontal="center" vertical="center"/>
    </xf>
    <xf numFmtId="0" fontId="0" fillId="3" borderId="9" xfId="0" applyFill="1" applyBorder="1" applyAlignment="1">
      <alignment horizontal="center" vertical="center"/>
    </xf>
    <xf numFmtId="1" fontId="0" fillId="0" borderId="0" xfId="0" applyNumberFormat="1" applyFont="1" applyAlignment="1">
      <alignment/>
    </xf>
    <xf numFmtId="0" fontId="0" fillId="0" borderId="0" xfId="0" applyFont="1" applyAlignment="1" quotePrefix="1">
      <alignment/>
    </xf>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left"/>
    </xf>
    <xf numFmtId="1" fontId="0" fillId="0" borderId="0" xfId="0" applyNumberFormat="1" applyFont="1" applyBorder="1" applyAlignment="1" quotePrefix="1">
      <alignment horizontal="center"/>
    </xf>
    <xf numFmtId="1" fontId="0" fillId="0" borderId="0" xfId="0" applyNumberFormat="1" applyFont="1" applyBorder="1" applyAlignment="1">
      <alignment/>
    </xf>
    <xf numFmtId="0" fontId="0" fillId="0" borderId="2" xfId="0" applyFont="1" applyBorder="1" applyAlignment="1">
      <alignment horizontal="center"/>
    </xf>
    <xf numFmtId="1" fontId="0" fillId="0" borderId="2" xfId="0" applyNumberFormat="1" applyFont="1" applyBorder="1" applyAlignment="1" quotePrefix="1">
      <alignment horizontal="center"/>
    </xf>
    <xf numFmtId="2" fontId="0" fillId="0" borderId="1" xfId="0" applyNumberFormat="1" applyFont="1" applyBorder="1" applyAlignment="1">
      <alignment horizontal="center"/>
    </xf>
    <xf numFmtId="164" fontId="0" fillId="0" borderId="1" xfId="0" applyNumberFormat="1" applyFont="1" applyBorder="1" applyAlignment="1">
      <alignment/>
    </xf>
    <xf numFmtId="0" fontId="3" fillId="0" borderId="2" xfId="0" applyFont="1" applyBorder="1" applyAlignment="1">
      <alignment/>
    </xf>
    <xf numFmtId="1" fontId="5" fillId="0" borderId="2" xfId="0" applyNumberFormat="1" applyFont="1" applyBorder="1" applyAlignment="1">
      <alignment horizontal="center"/>
    </xf>
    <xf numFmtId="1" fontId="3" fillId="0" borderId="2" xfId="0" applyNumberFormat="1" applyFont="1" applyBorder="1" applyAlignment="1">
      <alignment horizontal="center"/>
    </xf>
    <xf numFmtId="2" fontId="0" fillId="0" borderId="0" xfId="0" applyNumberFormat="1" applyFont="1" applyAlignment="1">
      <alignment horizontal="center"/>
    </xf>
    <xf numFmtId="1" fontId="5" fillId="0" borderId="0" xfId="0" applyNumberFormat="1" applyFont="1" applyAlignment="1">
      <alignment horizontal="center"/>
    </xf>
    <xf numFmtId="1" fontId="0" fillId="0" borderId="0" xfId="0" applyNumberFormat="1" applyFont="1" applyAlignment="1">
      <alignment horizontal="center"/>
    </xf>
    <xf numFmtId="0" fontId="0" fillId="4" borderId="0" xfId="0" applyFont="1" applyFill="1" applyAlignment="1">
      <alignment horizontal="center" vertical="center"/>
    </xf>
    <xf numFmtId="0" fontId="0" fillId="4" borderId="0" xfId="0" applyFont="1" applyFill="1" applyAlignment="1">
      <alignment/>
    </xf>
    <xf numFmtId="0" fontId="0" fillId="0" borderId="0" xfId="0" applyFont="1" applyFill="1" applyAlignment="1" quotePrefix="1">
      <alignment vertical="center"/>
    </xf>
    <xf numFmtId="0" fontId="0" fillId="0" borderId="0" xfId="0" applyFont="1" applyAlignment="1">
      <alignment vertical="top"/>
    </xf>
    <xf numFmtId="1"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quotePrefix="1">
      <alignment vertical="center"/>
    </xf>
    <xf numFmtId="0" fontId="0" fillId="0" borderId="0" xfId="0" applyFont="1" applyBorder="1" applyAlignment="1">
      <alignment/>
    </xf>
    <xf numFmtId="0" fontId="0" fillId="0" borderId="0" xfId="0" applyFont="1" applyBorder="1" applyAlignment="1">
      <alignment horizontal="left"/>
    </xf>
    <xf numFmtId="1" fontId="18" fillId="0" borderId="0" xfId="0" applyNumberFormat="1" applyFont="1" applyBorder="1" applyAlignment="1">
      <alignment vertical="center"/>
    </xf>
    <xf numFmtId="0" fontId="0" fillId="0" borderId="2" xfId="0" applyFont="1" applyBorder="1" applyAlignment="1">
      <alignment horizontal="center" vertical="center"/>
    </xf>
    <xf numFmtId="1" fontId="18" fillId="0" borderId="0" xfId="0" applyNumberFormat="1" applyFont="1" applyFill="1" applyAlignment="1">
      <alignment horizontal="center" vertical="center"/>
    </xf>
    <xf numFmtId="0" fontId="0" fillId="0" borderId="0" xfId="0" applyFont="1" applyAlignment="1">
      <alignment/>
    </xf>
    <xf numFmtId="2" fontId="0"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quotePrefix="1">
      <alignment horizontal="left" vertical="center"/>
    </xf>
    <xf numFmtId="16" fontId="13" fillId="0" borderId="0" xfId="0" applyNumberFormat="1" applyFont="1" applyAlignment="1" quotePrefix="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center"/>
    </xf>
    <xf numFmtId="0" fontId="0" fillId="0" borderId="0" xfId="0" applyFont="1" applyBorder="1" applyAlignment="1" quotePrefix="1">
      <alignment/>
    </xf>
    <xf numFmtId="0" fontId="13" fillId="0" borderId="0" xfId="0" applyFont="1" applyAlignment="1" quotePrefix="1">
      <alignment/>
    </xf>
    <xf numFmtId="0" fontId="0" fillId="0" borderId="0" xfId="0" applyFont="1" applyBorder="1" applyAlignment="1" quotePrefix="1">
      <alignment horizontal="right" vertical="center"/>
    </xf>
    <xf numFmtId="1" fontId="18" fillId="0" borderId="0" xfId="0" applyNumberFormat="1" applyFont="1" applyBorder="1" applyAlignment="1" quotePrefix="1">
      <alignment horizontal="left" vertical="center"/>
    </xf>
    <xf numFmtId="164" fontId="0" fillId="0" borderId="0" xfId="0" applyNumberFormat="1" applyFont="1" applyBorder="1" applyAlignment="1">
      <alignment horizontal="center" vertical="center"/>
    </xf>
    <xf numFmtId="0" fontId="0" fillId="0" borderId="0" xfId="0" applyFont="1" applyBorder="1" applyAlignment="1">
      <alignment vertical="center"/>
    </xf>
    <xf numFmtId="1" fontId="5"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0" fontId="13" fillId="0" borderId="0" xfId="0" applyFont="1" applyBorder="1" applyAlignment="1" quotePrefix="1">
      <alignment horizontal="center" vertical="center"/>
    </xf>
    <xf numFmtId="2" fontId="0" fillId="0" borderId="0" xfId="0" applyNumberFormat="1" applyFont="1" applyBorder="1" applyAlignment="1">
      <alignment vertical="center"/>
    </xf>
    <xf numFmtId="2" fontId="1" fillId="0" borderId="0" xfId="0" applyNumberFormat="1" applyFont="1" applyBorder="1" applyAlignment="1">
      <alignment horizontal="center" vertical="center"/>
    </xf>
    <xf numFmtId="0" fontId="5" fillId="0" borderId="0" xfId="0" applyFont="1" applyBorder="1" applyAlignment="1">
      <alignment horizontal="center" vertical="center"/>
    </xf>
    <xf numFmtId="1" fontId="0" fillId="0" borderId="0" xfId="0" applyNumberFormat="1" applyFont="1" applyBorder="1" applyAlignment="1">
      <alignment vertical="center"/>
    </xf>
    <xf numFmtId="2" fontId="1" fillId="0" borderId="0" xfId="0" applyNumberFormat="1" applyFont="1" applyBorder="1" applyAlignment="1">
      <alignment horizontal="left" vertical="center"/>
    </xf>
    <xf numFmtId="2" fontId="60" fillId="0" borderId="0" xfId="0" applyNumberFormat="1" applyFont="1" applyBorder="1" applyAlignment="1" quotePrefix="1">
      <alignment horizontal="left" vertical="center"/>
    </xf>
    <xf numFmtId="0" fontId="0" fillId="0" borderId="0" xfId="0" applyFont="1" applyBorder="1" applyAlignment="1">
      <alignment horizontal="left" vertical="center"/>
    </xf>
    <xf numFmtId="165" fontId="5" fillId="0" borderId="0" xfId="0" applyNumberFormat="1" applyFont="1" applyBorder="1" applyAlignment="1">
      <alignment vertical="center"/>
    </xf>
    <xf numFmtId="0" fontId="0" fillId="0" borderId="0" xfId="0" applyFont="1" applyBorder="1" applyAlignment="1">
      <alignment horizontal="right" vertical="center"/>
    </xf>
    <xf numFmtId="0" fontId="1" fillId="3" borderId="0" xfId="0" applyFont="1" applyFill="1" applyAlignment="1">
      <alignment horizontal="center"/>
    </xf>
    <xf numFmtId="1" fontId="0" fillId="0" borderId="0" xfId="0" applyNumberFormat="1" applyFont="1" applyBorder="1" applyAlignment="1">
      <alignment horizontal="left" vertical="center"/>
    </xf>
    <xf numFmtId="165" fontId="0" fillId="0" borderId="13" xfId="0" applyNumberFormat="1" applyFont="1" applyBorder="1" applyAlignment="1">
      <alignment vertical="center"/>
    </xf>
    <xf numFmtId="164" fontId="0" fillId="0" borderId="2" xfId="0" applyNumberFormat="1" applyFont="1" applyBorder="1" applyAlignment="1">
      <alignment horizontal="center" vertical="center"/>
    </xf>
    <xf numFmtId="0" fontId="0" fillId="0" borderId="2" xfId="0" applyFont="1" applyBorder="1" applyAlignment="1">
      <alignment/>
    </xf>
    <xf numFmtId="2" fontId="18" fillId="0" borderId="2" xfId="0" applyNumberFormat="1" applyFont="1" applyBorder="1" applyAlignment="1">
      <alignment vertical="center"/>
    </xf>
    <xf numFmtId="0" fontId="0" fillId="0" borderId="2" xfId="0" applyFont="1" applyBorder="1" applyAlignment="1" quotePrefix="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2" fontId="0" fillId="0" borderId="0" xfId="0" applyNumberFormat="1" applyFont="1"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2" fontId="0" fillId="0" borderId="0" xfId="0" applyNumberFormat="1" applyFont="1" applyBorder="1" applyAlignment="1">
      <alignment vertical="center"/>
    </xf>
    <xf numFmtId="165" fontId="5" fillId="0" borderId="0" xfId="0" applyNumberFormat="1" applyFont="1" applyBorder="1" applyAlignment="1">
      <alignment horizontal="center" vertical="center"/>
    </xf>
    <xf numFmtId="165" fontId="0" fillId="0" borderId="8" xfId="0" applyNumberFormat="1" applyFont="1" applyBorder="1" applyAlignment="1">
      <alignment vertical="center"/>
    </xf>
    <xf numFmtId="0" fontId="0" fillId="0" borderId="5" xfId="0" applyFont="1" applyBorder="1" applyAlignment="1">
      <alignment vertical="center"/>
    </xf>
    <xf numFmtId="1" fontId="0" fillId="0" borderId="5" xfId="0" applyNumberFormat="1" applyFont="1" applyBorder="1" applyAlignment="1">
      <alignment horizontal="center" vertical="center"/>
    </xf>
    <xf numFmtId="0" fontId="0" fillId="0" borderId="5" xfId="0" applyFont="1" applyBorder="1" applyAlignment="1" quotePrefix="1">
      <alignment horizontal="center" vertical="center"/>
    </xf>
    <xf numFmtId="164" fontId="0" fillId="0" borderId="5" xfId="0" applyNumberFormat="1" applyFont="1" applyBorder="1" applyAlignment="1">
      <alignment horizontal="center" vertical="center"/>
    </xf>
    <xf numFmtId="0" fontId="0" fillId="0" borderId="5" xfId="0" applyFont="1" applyBorder="1" applyAlignment="1">
      <alignment/>
    </xf>
    <xf numFmtId="2" fontId="18" fillId="0" borderId="5" xfId="0" applyNumberFormat="1" applyFont="1" applyBorder="1" applyAlignment="1">
      <alignment vertical="center"/>
    </xf>
    <xf numFmtId="2" fontId="18" fillId="0" borderId="0" xfId="0" applyNumberFormat="1" applyFont="1" applyAlignment="1">
      <alignment horizontal="center"/>
    </xf>
    <xf numFmtId="0" fontId="0" fillId="0" borderId="0" xfId="0" applyFont="1" applyAlignment="1">
      <alignment horizontal="left"/>
    </xf>
    <xf numFmtId="0" fontId="0" fillId="0" borderId="0" xfId="0" applyFont="1" applyAlignment="1" quotePrefix="1">
      <alignment/>
    </xf>
    <xf numFmtId="0" fontId="0" fillId="0" borderId="0" xfId="0" applyFont="1" applyAlignment="1" quotePrefix="1">
      <alignment vertical="center"/>
    </xf>
    <xf numFmtId="0" fontId="5" fillId="0" borderId="0" xfId="0" applyFont="1" applyBorder="1" applyAlignment="1">
      <alignment horizontal="left" vertical="center"/>
    </xf>
    <xf numFmtId="2" fontId="0" fillId="3" borderId="8" xfId="0" applyNumberFormat="1" applyFill="1" applyBorder="1" applyAlignment="1">
      <alignment horizontal="right" vertical="center"/>
    </xf>
    <xf numFmtId="0" fontId="6" fillId="0" borderId="0" xfId="0" applyFont="1" applyBorder="1" applyAlignment="1">
      <alignment vertical="center"/>
    </xf>
    <xf numFmtId="0" fontId="5" fillId="0" borderId="0" xfId="0" applyFont="1" applyBorder="1" applyAlignment="1" quotePrefix="1">
      <alignment vertical="center"/>
    </xf>
    <xf numFmtId="2" fontId="0" fillId="0" borderId="1" xfId="0" applyNumberFormat="1" applyFont="1" applyBorder="1" applyAlignment="1">
      <alignment horizontal="center" vertical="center"/>
    </xf>
    <xf numFmtId="0" fontId="6" fillId="0" borderId="0" xfId="0" applyFont="1" applyBorder="1" applyAlignment="1">
      <alignment horizontal="left" vertical="center"/>
    </xf>
    <xf numFmtId="165" fontId="0" fillId="0" borderId="0" xfId="0" applyNumberFormat="1" applyFont="1" applyBorder="1" applyAlignment="1">
      <alignment vertical="center" wrapText="1"/>
    </xf>
    <xf numFmtId="1" fontId="0" fillId="0" borderId="0" xfId="0" applyNumberFormat="1" applyFont="1" applyBorder="1" applyAlignment="1">
      <alignment vertical="center" wrapText="1"/>
    </xf>
    <xf numFmtId="1" fontId="18" fillId="0" borderId="0" xfId="0" applyNumberFormat="1" applyFont="1" applyBorder="1" applyAlignment="1" quotePrefix="1">
      <alignment horizontal="right" vertical="center"/>
    </xf>
    <xf numFmtId="2" fontId="0" fillId="0" borderId="0" xfId="0" applyNumberFormat="1" applyFont="1" applyBorder="1" applyAlignment="1" quotePrefix="1">
      <alignment horizontal="left" vertical="center"/>
    </xf>
    <xf numFmtId="1" fontId="0" fillId="0" borderId="0" xfId="0" applyNumberFormat="1" applyFont="1" applyBorder="1" applyAlignment="1">
      <alignment horizontal="right" vertical="center"/>
    </xf>
    <xf numFmtId="1" fontId="0" fillId="0" borderId="0" xfId="0" applyNumberFormat="1" applyFont="1" applyBorder="1" applyAlignment="1" quotePrefix="1">
      <alignment vertical="center" wrapText="1"/>
    </xf>
    <xf numFmtId="0" fontId="18" fillId="0" borderId="0" xfId="0" applyFont="1" applyBorder="1" applyAlignment="1">
      <alignment horizontal="center" vertical="center"/>
    </xf>
    <xf numFmtId="0" fontId="1" fillId="0" borderId="0" xfId="0" applyFont="1" applyBorder="1" applyAlignment="1" quotePrefix="1">
      <alignment vertical="center"/>
    </xf>
    <xf numFmtId="0" fontId="1" fillId="0" borderId="0" xfId="0" applyFont="1" applyBorder="1" applyAlignment="1">
      <alignment vertical="center"/>
    </xf>
    <xf numFmtId="0" fontId="5" fillId="0" borderId="0" xfId="0" applyFont="1" applyBorder="1" applyAlignment="1">
      <alignment horizontal="left" vertical="center"/>
    </xf>
    <xf numFmtId="0" fontId="0" fillId="0" borderId="0" xfId="0" applyFont="1" applyAlignment="1" quotePrefix="1">
      <alignment horizontal="center"/>
    </xf>
    <xf numFmtId="0" fontId="10" fillId="0" borderId="0" xfId="0" applyFont="1" applyBorder="1" applyAlignment="1">
      <alignment horizontal="left" vertical="center"/>
    </xf>
    <xf numFmtId="0" fontId="0" fillId="0" borderId="0" xfId="0" applyFont="1" applyBorder="1" applyAlignment="1" quotePrefix="1">
      <alignment horizontal="left" vertical="center"/>
    </xf>
    <xf numFmtId="0" fontId="1" fillId="0" borderId="0" xfId="0" applyFont="1" applyBorder="1" applyAlignment="1">
      <alignment horizontal="center" vertical="center"/>
    </xf>
    <xf numFmtId="16" fontId="0" fillId="0" borderId="2" xfId="0" applyNumberFormat="1" applyFont="1" applyBorder="1" applyAlignment="1" quotePrefix="1">
      <alignment horizontal="center" vertical="center"/>
    </xf>
    <xf numFmtId="0" fontId="34" fillId="0" borderId="0" xfId="0" applyFont="1" applyBorder="1" applyAlignment="1">
      <alignment horizontal="left" vertical="center"/>
    </xf>
    <xf numFmtId="165" fontId="0" fillId="0" borderId="0" xfId="0" applyNumberFormat="1" applyFont="1" applyBorder="1" applyAlignment="1">
      <alignment horizontal="center" vertical="center"/>
    </xf>
    <xf numFmtId="1" fontId="1" fillId="0" borderId="0" xfId="0" applyNumberFormat="1" applyFont="1" applyBorder="1" applyAlignment="1" quotePrefix="1">
      <alignment horizontal="center" vertical="center"/>
    </xf>
    <xf numFmtId="2" fontId="0" fillId="0" borderId="0" xfId="0" applyNumberFormat="1" applyFont="1" applyBorder="1" applyAlignment="1" quotePrefix="1">
      <alignment horizontal="center" vertical="center" wrapText="1"/>
    </xf>
    <xf numFmtId="0" fontId="20" fillId="0" borderId="0" xfId="0" applyFont="1" applyBorder="1" applyAlignment="1" quotePrefix="1">
      <alignment horizontal="left" vertical="center"/>
    </xf>
    <xf numFmtId="1" fontId="0" fillId="0" borderId="0" xfId="0" applyNumberFormat="1" applyFont="1" applyBorder="1" applyAlignment="1">
      <alignment horizontal="left" vertical="center"/>
    </xf>
    <xf numFmtId="0" fontId="35" fillId="0" borderId="0" xfId="0" applyFont="1" applyBorder="1" applyAlignment="1">
      <alignment horizontal="center" vertical="center"/>
    </xf>
    <xf numFmtId="0" fontId="0" fillId="0" borderId="0" xfId="0" applyFont="1" applyFill="1" applyBorder="1" applyAlignment="1" quotePrefix="1">
      <alignment horizontal="left" vertical="center"/>
    </xf>
    <xf numFmtId="0" fontId="0" fillId="0" borderId="0" xfId="0" applyFont="1" applyFill="1" applyAlignment="1">
      <alignment/>
    </xf>
    <xf numFmtId="0" fontId="0" fillId="0" borderId="0" xfId="0" applyFont="1" applyFill="1" applyBorder="1" applyAlignment="1" quotePrefix="1">
      <alignment horizontal="center" vertical="center"/>
    </xf>
    <xf numFmtId="1" fontId="18" fillId="0" borderId="0" xfId="0" applyNumberFormat="1" applyFont="1" applyFill="1" applyBorder="1" applyAlignment="1" quotePrefix="1">
      <alignment horizontal="center" vertical="center"/>
    </xf>
    <xf numFmtId="2" fontId="19" fillId="0" borderId="0" xfId="0" applyNumberFormat="1" applyFont="1" applyFill="1" applyBorder="1" applyAlignment="1">
      <alignment horizontal="center" vertical="center"/>
    </xf>
    <xf numFmtId="2" fontId="3" fillId="0" borderId="0" xfId="0" applyNumberFormat="1" applyFont="1" applyBorder="1" applyAlignment="1">
      <alignment/>
    </xf>
    <xf numFmtId="0" fontId="0" fillId="0" borderId="0" xfId="0" applyFont="1" applyBorder="1" applyAlignment="1" quotePrefix="1">
      <alignment horizontal="center"/>
    </xf>
    <xf numFmtId="2" fontId="0" fillId="0" borderId="0" xfId="0" applyNumberFormat="1" applyFont="1" applyBorder="1" applyAlignment="1">
      <alignment/>
    </xf>
    <xf numFmtId="165" fontId="0" fillId="0" borderId="0" xfId="0" applyNumberFormat="1" applyFont="1" applyBorder="1" applyAlignment="1">
      <alignment vertical="center"/>
    </xf>
    <xf numFmtId="0" fontId="14" fillId="0" borderId="0" xfId="0" applyFont="1" applyBorder="1" applyAlignment="1">
      <alignment vertical="center"/>
    </xf>
    <xf numFmtId="0" fontId="6" fillId="3" borderId="10" xfId="0" applyFont="1" applyFill="1" applyBorder="1" applyAlignment="1">
      <alignment horizontal="center" vertical="center"/>
    </xf>
    <xf numFmtId="0" fontId="20" fillId="3" borderId="9" xfId="0" applyFont="1" applyFill="1" applyBorder="1" applyAlignment="1">
      <alignment horizontal="center" vertical="top"/>
    </xf>
    <xf numFmtId="0" fontId="0" fillId="3" borderId="9" xfId="0" applyFont="1" applyFill="1" applyBorder="1" applyAlignment="1">
      <alignment horizontal="center" vertical="center"/>
    </xf>
    <xf numFmtId="0" fontId="0" fillId="3" borderId="4" xfId="0" applyFont="1" applyFill="1" applyBorder="1" applyAlignment="1">
      <alignment horizontal="center" vertical="center"/>
    </xf>
    <xf numFmtId="0" fontId="43" fillId="3" borderId="0" xfId="0" applyFont="1" applyFill="1" applyBorder="1" applyAlignment="1">
      <alignment vertical="center" wrapText="1"/>
    </xf>
    <xf numFmtId="0" fontId="0" fillId="3" borderId="0" xfId="0" applyFill="1" applyBorder="1" applyAlignment="1">
      <alignment/>
    </xf>
    <xf numFmtId="0" fontId="0" fillId="3" borderId="0" xfId="0" applyFill="1" applyAlignment="1">
      <alignment/>
    </xf>
    <xf numFmtId="0" fontId="0" fillId="3" borderId="0" xfId="0" applyFont="1" applyFill="1" applyBorder="1" applyAlignment="1">
      <alignment/>
    </xf>
    <xf numFmtId="0" fontId="9" fillId="3" borderId="14" xfId="0" applyFont="1" applyFill="1" applyBorder="1" applyAlignment="1">
      <alignment horizontal="left"/>
    </xf>
    <xf numFmtId="0" fontId="9" fillId="3" borderId="0" xfId="0" applyFont="1" applyFill="1" applyBorder="1" applyAlignment="1">
      <alignment horizontal="left"/>
    </xf>
    <xf numFmtId="2" fontId="9" fillId="3" borderId="0" xfId="0" applyNumberFormat="1" applyFont="1" applyFill="1" applyBorder="1" applyAlignment="1">
      <alignment horizontal="center"/>
    </xf>
    <xf numFmtId="0" fontId="9" fillId="3" borderId="0" xfId="0" applyFont="1" applyFill="1" applyBorder="1" applyAlignment="1">
      <alignment/>
    </xf>
    <xf numFmtId="0" fontId="9" fillId="3" borderId="0" xfId="0" applyFont="1" applyFill="1" applyBorder="1" applyAlignment="1" quotePrefix="1">
      <alignment horizontal="center"/>
    </xf>
    <xf numFmtId="0" fontId="12" fillId="3" borderId="0" xfId="0" applyFont="1" applyFill="1" applyBorder="1" applyAlignment="1">
      <alignment/>
    </xf>
    <xf numFmtId="1" fontId="0" fillId="3" borderId="0" xfId="0" applyNumberFormat="1" applyFill="1" applyBorder="1" applyAlignment="1">
      <alignment/>
    </xf>
    <xf numFmtId="0" fontId="0" fillId="3" borderId="0" xfId="0" applyFill="1" applyBorder="1" applyAlignment="1">
      <alignment/>
    </xf>
    <xf numFmtId="0" fontId="9" fillId="3" borderId="14" xfId="0" applyFont="1" applyFill="1" applyBorder="1" applyAlignment="1">
      <alignment/>
    </xf>
    <xf numFmtId="0" fontId="0" fillId="3" borderId="0" xfId="0" applyFont="1" applyFill="1" applyBorder="1" applyAlignment="1">
      <alignment/>
    </xf>
    <xf numFmtId="0" fontId="9" fillId="3" borderId="0" xfId="0" applyFont="1" applyFill="1" applyBorder="1" applyAlignment="1">
      <alignment horizontal="center"/>
    </xf>
    <xf numFmtId="0" fontId="22" fillId="3" borderId="0" xfId="0" applyFont="1" applyFill="1" applyBorder="1" applyAlignment="1">
      <alignment horizontal="center"/>
    </xf>
    <xf numFmtId="0" fontId="0" fillId="3" borderId="0" xfId="0" applyFill="1" applyAlignment="1">
      <alignment horizontal="center"/>
    </xf>
    <xf numFmtId="0" fontId="0" fillId="3" borderId="0" xfId="0" applyFont="1" applyFill="1" applyBorder="1" applyAlignment="1">
      <alignment vertical="center"/>
    </xf>
    <xf numFmtId="0" fontId="12" fillId="3" borderId="0" xfId="0" applyFont="1" applyFill="1" applyBorder="1" applyAlignment="1" quotePrefix="1">
      <alignment horizontal="center"/>
    </xf>
    <xf numFmtId="0" fontId="0" fillId="3" borderId="15" xfId="0" applyFill="1" applyBorder="1" applyAlignment="1">
      <alignment/>
    </xf>
    <xf numFmtId="0" fontId="63" fillId="3" borderId="14" xfId="0" applyFont="1" applyFill="1" applyBorder="1" applyAlignment="1">
      <alignment vertical="center"/>
    </xf>
    <xf numFmtId="0" fontId="49" fillId="3" borderId="0" xfId="0" applyFont="1" applyFill="1" applyBorder="1" applyAlignment="1">
      <alignment vertical="center"/>
    </xf>
    <xf numFmtId="0" fontId="48" fillId="3" borderId="0" xfId="0" applyFont="1" applyFill="1" applyBorder="1" applyAlignment="1">
      <alignment vertical="center"/>
    </xf>
    <xf numFmtId="1" fontId="49" fillId="3" borderId="0" xfId="0" applyNumberFormat="1" applyFont="1" applyFill="1" applyBorder="1" applyAlignment="1">
      <alignment horizontal="right" vertical="center"/>
    </xf>
    <xf numFmtId="0" fontId="48" fillId="3" borderId="0" xfId="0" applyFont="1" applyFill="1" applyBorder="1" applyAlignment="1">
      <alignment horizontal="center" vertical="center"/>
    </xf>
    <xf numFmtId="1" fontId="49" fillId="3" borderId="0" xfId="0" applyNumberFormat="1" applyFont="1" applyFill="1" applyAlignment="1">
      <alignment horizontal="right" vertical="center"/>
    </xf>
    <xf numFmtId="0" fontId="0" fillId="3" borderId="0" xfId="0" applyFont="1" applyFill="1" applyBorder="1" applyAlignment="1">
      <alignment/>
    </xf>
    <xf numFmtId="0" fontId="49" fillId="3" borderId="14" xfId="0" applyFont="1" applyFill="1" applyBorder="1" applyAlignment="1">
      <alignment vertical="center"/>
    </xf>
    <xf numFmtId="1" fontId="49" fillId="3" borderId="0" xfId="0" applyNumberFormat="1" applyFont="1" applyFill="1" applyBorder="1" applyAlignment="1">
      <alignment vertical="center"/>
    </xf>
    <xf numFmtId="0" fontId="63" fillId="3" borderId="14" xfId="0" applyFont="1" applyFill="1" applyBorder="1" applyAlignment="1">
      <alignment horizontal="left" vertical="center"/>
    </xf>
    <xf numFmtId="1" fontId="49" fillId="3" borderId="0" xfId="0" applyNumberFormat="1" applyFont="1" applyFill="1" applyBorder="1" applyAlignment="1">
      <alignment horizontal="center" vertical="center"/>
    </xf>
    <xf numFmtId="0" fontId="49" fillId="3" borderId="0" xfId="0" applyFont="1" applyFill="1" applyBorder="1" applyAlignment="1">
      <alignment horizontal="right" vertical="center"/>
    </xf>
    <xf numFmtId="0" fontId="49" fillId="3" borderId="0" xfId="0" applyFont="1" applyFill="1" applyBorder="1" applyAlignment="1">
      <alignment horizontal="center" vertical="center"/>
    </xf>
    <xf numFmtId="0" fontId="49" fillId="3" borderId="0" xfId="0" applyFont="1" applyFill="1" applyAlignment="1">
      <alignment horizontal="center" vertical="center"/>
    </xf>
    <xf numFmtId="0" fontId="12" fillId="3" borderId="14" xfId="0" applyFont="1" applyFill="1" applyBorder="1" applyAlignment="1">
      <alignment/>
    </xf>
    <xf numFmtId="0" fontId="12" fillId="3" borderId="0" xfId="0" applyFont="1" applyFill="1" applyAlignment="1">
      <alignment/>
    </xf>
    <xf numFmtId="0" fontId="12" fillId="3" borderId="14" xfId="0" applyFont="1" applyFill="1" applyBorder="1" applyAlignment="1">
      <alignment/>
    </xf>
    <xf numFmtId="0" fontId="0" fillId="3" borderId="0" xfId="0" applyFont="1" applyFill="1" applyAlignment="1">
      <alignment/>
    </xf>
    <xf numFmtId="0" fontId="44" fillId="3" borderId="14" xfId="0" applyFont="1" applyFill="1" applyBorder="1" applyAlignment="1">
      <alignment horizontal="left"/>
    </xf>
    <xf numFmtId="0" fontId="12" fillId="3" borderId="14" xfId="0" applyFont="1" applyFill="1" applyBorder="1" applyAlignment="1">
      <alignment horizontal="left"/>
    </xf>
    <xf numFmtId="0" fontId="12" fillId="3" borderId="0" xfId="0" applyFont="1" applyFill="1" applyAlignment="1">
      <alignment horizontal="left" vertical="center" wrapText="1"/>
    </xf>
    <xf numFmtId="0" fontId="0" fillId="3" borderId="0" xfId="0" applyFont="1" applyFill="1" applyAlignment="1">
      <alignment horizontal="left" vertical="center" wrapText="1"/>
    </xf>
    <xf numFmtId="2" fontId="0" fillId="3" borderId="0" xfId="0" applyNumberFormat="1" applyFill="1" applyBorder="1" applyAlignment="1">
      <alignment horizontal="left"/>
    </xf>
    <xf numFmtId="0" fontId="12" fillId="3" borderId="0" xfId="0" applyFont="1" applyFill="1" applyBorder="1" applyAlignment="1">
      <alignment/>
    </xf>
    <xf numFmtId="0" fontId="0" fillId="3" borderId="15" xfId="0" applyFont="1" applyFill="1" applyBorder="1" applyAlignment="1">
      <alignment/>
    </xf>
    <xf numFmtId="0" fontId="0" fillId="3" borderId="0" xfId="0" applyFill="1" applyBorder="1" applyAlignment="1">
      <alignment horizontal="left"/>
    </xf>
    <xf numFmtId="0" fontId="0" fillId="3" borderId="14" xfId="0" applyFill="1" applyBorder="1" applyAlignment="1">
      <alignment/>
    </xf>
    <xf numFmtId="0" fontId="0" fillId="3" borderId="0" xfId="0" applyFont="1" applyFill="1" applyBorder="1" applyAlignment="1">
      <alignment horizontal="right"/>
    </xf>
    <xf numFmtId="0" fontId="12" fillId="3" borderId="0" xfId="0" applyFont="1" applyFill="1" applyBorder="1" applyAlignment="1">
      <alignment/>
    </xf>
    <xf numFmtId="0" fontId="44" fillId="3" borderId="14" xfId="0" applyFont="1" applyFill="1" applyBorder="1" applyAlignment="1">
      <alignment/>
    </xf>
    <xf numFmtId="2" fontId="0" fillId="3" borderId="0" xfId="0" applyNumberFormat="1" applyFont="1" applyFill="1" applyBorder="1" applyAlignment="1">
      <alignment vertical="center"/>
    </xf>
    <xf numFmtId="0" fontId="0" fillId="3" borderId="3" xfId="0" applyFill="1" applyBorder="1" applyAlignment="1">
      <alignment/>
    </xf>
    <xf numFmtId="0" fontId="12" fillId="3" borderId="1" xfId="0" applyFont="1" applyFill="1" applyBorder="1" applyAlignment="1">
      <alignment/>
    </xf>
    <xf numFmtId="0" fontId="0" fillId="3" borderId="1" xfId="0" applyFill="1" applyBorder="1" applyAlignment="1">
      <alignment/>
    </xf>
    <xf numFmtId="0" fontId="0" fillId="3" borderId="1" xfId="0" applyFill="1" applyBorder="1" applyAlignment="1">
      <alignment/>
    </xf>
    <xf numFmtId="0" fontId="0" fillId="3" borderId="12" xfId="0" applyFill="1" applyBorder="1" applyAlignment="1">
      <alignment/>
    </xf>
    <xf numFmtId="0" fontId="9" fillId="2" borderId="7" xfId="0" applyFont="1" applyFill="1" applyBorder="1" applyAlignment="1">
      <alignment horizontal="center"/>
    </xf>
    <xf numFmtId="0" fontId="0" fillId="4" borderId="15" xfId="0" applyFont="1" applyFill="1" applyBorder="1" applyAlignment="1">
      <alignment/>
    </xf>
    <xf numFmtId="0" fontId="0" fillId="4" borderId="11" xfId="0" applyFont="1" applyFill="1" applyBorder="1" applyAlignment="1">
      <alignment/>
    </xf>
    <xf numFmtId="0" fontId="12" fillId="3" borderId="0" xfId="0" applyFont="1" applyFill="1" applyBorder="1" applyAlignment="1">
      <alignment horizontal="left"/>
    </xf>
    <xf numFmtId="0" fontId="49" fillId="3" borderId="0" xfId="0" applyFont="1" applyFill="1" applyAlignment="1">
      <alignment horizontal="right" vertical="center"/>
    </xf>
    <xf numFmtId="0" fontId="14" fillId="4" borderId="11" xfId="0" applyFont="1" applyFill="1" applyBorder="1" applyAlignment="1">
      <alignment/>
    </xf>
    <xf numFmtId="0" fontId="14" fillId="4" borderId="1" xfId="0" applyFont="1" applyFill="1" applyBorder="1" applyAlignment="1" quotePrefix="1">
      <alignment/>
    </xf>
    <xf numFmtId="0" fontId="14" fillId="4" borderId="12" xfId="0" applyFont="1" applyFill="1" applyBorder="1" applyAlignment="1">
      <alignment/>
    </xf>
    <xf numFmtId="1" fontId="0" fillId="3" borderId="0" xfId="0" applyNumberFormat="1" applyFont="1" applyFill="1" applyBorder="1" applyAlignment="1">
      <alignment/>
    </xf>
    <xf numFmtId="0" fontId="0" fillId="0" borderId="11" xfId="0" applyBorder="1" applyAlignment="1">
      <alignment/>
    </xf>
    <xf numFmtId="0" fontId="0" fillId="0" borderId="3" xfId="0" applyBorder="1" applyAlignment="1">
      <alignment/>
    </xf>
    <xf numFmtId="0" fontId="0" fillId="0" borderId="3" xfId="0" applyBorder="1" applyAlignment="1">
      <alignment/>
    </xf>
    <xf numFmtId="0" fontId="0" fillId="0" borderId="12" xfId="0" applyBorder="1" applyAlignment="1">
      <alignment/>
    </xf>
    <xf numFmtId="0" fontId="0" fillId="0" borderId="12" xfId="0" applyBorder="1" applyAlignment="1">
      <alignment/>
    </xf>
    <xf numFmtId="2" fontId="18" fillId="0" borderId="3" xfId="0" applyNumberFormat="1" applyFont="1" applyBorder="1" applyAlignment="1">
      <alignment horizontal="center"/>
    </xf>
    <xf numFmtId="0" fontId="0" fillId="3" borderId="0" xfId="20" applyFont="1" applyFill="1" applyBorder="1" applyAlignment="1">
      <alignment/>
    </xf>
    <xf numFmtId="0" fontId="64" fillId="0" borderId="0" xfId="0" applyFont="1" applyAlignment="1">
      <alignment/>
    </xf>
    <xf numFmtId="0" fontId="11" fillId="3" borderId="0" xfId="0" applyFont="1" applyFill="1" applyBorder="1" applyAlignment="1">
      <alignment horizontal="center"/>
    </xf>
    <xf numFmtId="0" fontId="9" fillId="2" borderId="7" xfId="0" applyFont="1" applyFill="1" applyBorder="1" applyAlignment="1">
      <alignment horizontal="center" vertical="center"/>
    </xf>
    <xf numFmtId="0" fontId="9" fillId="2" borderId="9" xfId="0" applyFont="1" applyFill="1" applyBorder="1" applyAlignment="1">
      <alignment horizontal="center"/>
    </xf>
    <xf numFmtId="2" fontId="9" fillId="2" borderId="7" xfId="0" applyNumberFormat="1" applyFont="1" applyFill="1" applyBorder="1" applyAlignment="1">
      <alignment horizontal="center"/>
    </xf>
    <xf numFmtId="2" fontId="9" fillId="2" borderId="9" xfId="0" applyNumberFormat="1" applyFont="1" applyFill="1" applyBorder="1" applyAlignment="1">
      <alignment horizontal="center"/>
    </xf>
    <xf numFmtId="0" fontId="0" fillId="3" borderId="0" xfId="0" applyFont="1" applyFill="1" applyBorder="1" applyAlignment="1">
      <alignment vertical="center"/>
    </xf>
    <xf numFmtId="0" fontId="14" fillId="3" borderId="0" xfId="0" applyFont="1" applyFill="1" applyBorder="1" applyAlignment="1">
      <alignment/>
    </xf>
    <xf numFmtId="0" fontId="14" fillId="3" borderId="0" xfId="0" applyFont="1" applyFill="1" applyBorder="1" applyAlignment="1">
      <alignment vertical="center"/>
    </xf>
    <xf numFmtId="0" fontId="14" fillId="3" borderId="0" xfId="0" applyFont="1" applyFill="1" applyAlignment="1">
      <alignment/>
    </xf>
    <xf numFmtId="0" fontId="0" fillId="3" borderId="0" xfId="0" applyFont="1" applyFill="1" applyBorder="1" applyAlignment="1">
      <alignment/>
    </xf>
    <xf numFmtId="0" fontId="0" fillId="3" borderId="0" xfId="0" applyFont="1" applyFill="1" applyAlignment="1">
      <alignment/>
    </xf>
    <xf numFmtId="0" fontId="0" fillId="3" borderId="1" xfId="0" applyFont="1" applyFill="1" applyBorder="1" applyAlignment="1">
      <alignment/>
    </xf>
    <xf numFmtId="0" fontId="0" fillId="3" borderId="1" xfId="0" applyFont="1" applyFill="1" applyBorder="1" applyAlignment="1">
      <alignment/>
    </xf>
    <xf numFmtId="0" fontId="1" fillId="0" borderId="0" xfId="0" applyFont="1" applyFill="1" applyBorder="1" applyAlignment="1">
      <alignment horizontal="center" vertical="center" wrapText="1"/>
    </xf>
    <xf numFmtId="0" fontId="18" fillId="0" borderId="0" xfId="0" applyFont="1" applyBorder="1" applyAlignment="1">
      <alignment/>
    </xf>
    <xf numFmtId="1" fontId="1" fillId="0" borderId="0" xfId="0" applyNumberFormat="1" applyFont="1" applyFill="1" applyBorder="1" applyAlignment="1">
      <alignment horizontal="center"/>
    </xf>
    <xf numFmtId="0" fontId="0" fillId="0" borderId="0" xfId="0" applyFont="1" applyAlignment="1">
      <alignment horizontal="center"/>
    </xf>
    <xf numFmtId="0" fontId="0" fillId="0" borderId="0" xfId="0" applyFont="1" applyFill="1" applyAlignment="1">
      <alignment horizontal="left" vertical="center"/>
    </xf>
    <xf numFmtId="2" fontId="18" fillId="0" borderId="0" xfId="0" applyNumberFormat="1" applyFont="1" applyBorder="1" applyAlignment="1" quotePrefix="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Border="1" applyAlignment="1">
      <alignment horizontal="center" vertical="center"/>
    </xf>
    <xf numFmtId="0" fontId="13" fillId="0" borderId="0" xfId="0" applyFont="1" applyBorder="1" applyAlignment="1">
      <alignment horizontal="left" vertical="center" wrapText="1"/>
    </xf>
    <xf numFmtId="2" fontId="0" fillId="8" borderId="5" xfId="0" applyNumberFormat="1" applyFont="1" applyFill="1" applyBorder="1" applyAlignment="1">
      <alignment horizontal="center" vertical="center"/>
    </xf>
    <xf numFmtId="2" fontId="0" fillId="8" borderId="6" xfId="0" applyNumberFormat="1" applyFont="1" applyFill="1" applyBorder="1" applyAlignment="1">
      <alignment horizontal="center" vertical="center"/>
    </xf>
    <xf numFmtId="0" fontId="2" fillId="0" borderId="0" xfId="0" applyFont="1" applyAlignment="1">
      <alignment horizontal="center" vertical="center"/>
    </xf>
    <xf numFmtId="0" fontId="34" fillId="0" borderId="0" xfId="0" applyFont="1" applyAlignment="1">
      <alignment horizontal="left" vertical="center" wrapText="1"/>
    </xf>
    <xf numFmtId="1" fontId="24" fillId="0" borderId="0" xfId="0" applyNumberFormat="1" applyFont="1" applyAlignment="1" quotePrefix="1">
      <alignment horizontal="center" vertical="center"/>
    </xf>
    <xf numFmtId="1" fontId="18" fillId="0" borderId="0" xfId="0" applyNumberFormat="1" applyFont="1" applyBorder="1" applyAlignment="1">
      <alignment horizontal="center" vertical="center"/>
    </xf>
    <xf numFmtId="1" fontId="18" fillId="0" borderId="0" xfId="0" applyNumberFormat="1" applyFont="1" applyBorder="1" applyAlignment="1" quotePrefix="1">
      <alignment horizontal="center" vertical="center"/>
    </xf>
    <xf numFmtId="0" fontId="1" fillId="0" borderId="0" xfId="0" applyFont="1" applyFill="1" applyAlignment="1">
      <alignment horizontal="center" vertical="center"/>
    </xf>
    <xf numFmtId="1" fontId="0" fillId="0" borderId="0" xfId="0" applyNumberFormat="1" applyFont="1" applyAlignment="1" quotePrefix="1">
      <alignment horizontal="center" vertical="center"/>
    </xf>
    <xf numFmtId="0" fontId="0" fillId="0" borderId="0" xfId="0" applyFont="1" applyAlignment="1" quotePrefix="1">
      <alignment horizontal="left" vertical="center"/>
    </xf>
    <xf numFmtId="0" fontId="0" fillId="0" borderId="0" xfId="0" applyFont="1" applyAlignment="1">
      <alignment horizontal="left" vertical="center"/>
    </xf>
    <xf numFmtId="2" fontId="0" fillId="0" borderId="0" xfId="0" applyNumberFormat="1" applyFont="1" applyBorder="1" applyAlignment="1">
      <alignment horizontal="right" vertical="center" wrapText="1"/>
    </xf>
    <xf numFmtId="0" fontId="0" fillId="0" borderId="0" xfId="0" applyFont="1" applyAlignment="1">
      <alignment horizontal="center"/>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wrapText="1"/>
    </xf>
    <xf numFmtId="1" fontId="0" fillId="0" borderId="0" xfId="0" applyNumberFormat="1" applyFont="1" applyBorder="1" applyAlignment="1" quotePrefix="1">
      <alignment horizontal="center" vertical="center"/>
    </xf>
    <xf numFmtId="0" fontId="5" fillId="0" borderId="0" xfId="0" applyFont="1" applyBorder="1" applyAlignment="1" quotePrefix="1">
      <alignment horizontal="center" vertical="center"/>
    </xf>
    <xf numFmtId="1" fontId="1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0" fillId="0" borderId="0" xfId="0" applyFont="1" applyBorder="1" applyAlignment="1">
      <alignment horizontal="right" vertical="center"/>
    </xf>
    <xf numFmtId="2" fontId="0"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quotePrefix="1">
      <alignment horizontal="left" vertical="center"/>
    </xf>
    <xf numFmtId="1" fontId="0" fillId="0" borderId="0" xfId="0" applyNumberFormat="1" applyFont="1" applyBorder="1" applyAlignment="1">
      <alignment horizontal="left" vertical="center" wrapText="1"/>
    </xf>
    <xf numFmtId="0" fontId="0" fillId="0" borderId="2" xfId="0" applyFont="1" applyBorder="1" applyAlignment="1">
      <alignment horizontal="center"/>
    </xf>
    <xf numFmtId="164" fontId="0" fillId="0" borderId="0" xfId="0" applyNumberFormat="1" applyFont="1" applyBorder="1" applyAlignment="1">
      <alignment horizontal="right" vertical="center"/>
    </xf>
    <xf numFmtId="2" fontId="18" fillId="0" borderId="0" xfId="0" applyNumberFormat="1" applyFont="1" applyBorder="1" applyAlignment="1">
      <alignment horizontal="center" vertical="center"/>
    </xf>
    <xf numFmtId="2" fontId="0"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1" fontId="0" fillId="0" borderId="0" xfId="0" applyNumberFormat="1" applyFont="1" applyBorder="1" applyAlignment="1" quotePrefix="1">
      <alignment horizontal="center" vertical="center" wrapText="1"/>
    </xf>
    <xf numFmtId="165"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2" xfId="0" applyNumberFormat="1" applyFont="1" applyBorder="1" applyAlignment="1">
      <alignment horizontal="center" vertical="center"/>
    </xf>
    <xf numFmtId="1" fontId="1" fillId="0" borderId="0" xfId="0" applyNumberFormat="1" applyFont="1" applyAlignment="1" quotePrefix="1">
      <alignment horizontal="center" vertical="center"/>
    </xf>
    <xf numFmtId="1" fontId="0"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wrapText="1"/>
    </xf>
    <xf numFmtId="0" fontId="0" fillId="0" borderId="0" xfId="0" applyFont="1" applyBorder="1" applyAlignment="1">
      <alignment horizontal="left" vertical="center"/>
    </xf>
    <xf numFmtId="0" fontId="0" fillId="0" borderId="0" xfId="0" applyFont="1" applyBorder="1" applyAlignment="1">
      <alignment horizontal="justify" vertical="center" wrapText="1"/>
    </xf>
    <xf numFmtId="2" fontId="0"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2" fontId="1" fillId="0" borderId="0" xfId="0" applyNumberFormat="1" applyFont="1" applyAlignment="1">
      <alignment horizontal="center" vertical="center"/>
    </xf>
    <xf numFmtId="2" fontId="0" fillId="0" borderId="5" xfId="0" applyNumberFormat="1" applyBorder="1" applyAlignment="1">
      <alignment horizontal="center" vertical="center"/>
    </xf>
    <xf numFmtId="165" fontId="0" fillId="0" borderId="5" xfId="0" applyNumberFormat="1" applyBorder="1" applyAlignment="1">
      <alignment horizontal="center" vertical="center"/>
    </xf>
    <xf numFmtId="0" fontId="0" fillId="0" borderId="0" xfId="0" applyFont="1" applyBorder="1" applyAlignment="1" quotePrefix="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5" fillId="0" borderId="0" xfId="0" applyFont="1" applyAlignment="1" quotePrefix="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quotePrefix="1">
      <alignment horizontal="center" vertical="center"/>
    </xf>
    <xf numFmtId="0" fontId="2" fillId="0" borderId="0" xfId="0" applyFont="1" applyBorder="1" applyAlignment="1">
      <alignment horizontal="right" vertical="center"/>
    </xf>
    <xf numFmtId="0" fontId="43" fillId="3" borderId="15"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8" xfId="0" applyFill="1" applyBorder="1" applyAlignment="1">
      <alignment horizontal="left"/>
    </xf>
    <xf numFmtId="0" fontId="0" fillId="4" borderId="6" xfId="0" applyFill="1" applyBorder="1" applyAlignment="1">
      <alignment horizontal="left"/>
    </xf>
    <xf numFmtId="0" fontId="0" fillId="0" borderId="0" xfId="0"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quotePrefix="1">
      <alignment horizontal="center" vertical="center"/>
    </xf>
    <xf numFmtId="0" fontId="0" fillId="0" borderId="0" xfId="0" applyFont="1" applyFill="1" applyAlignment="1" quotePrefix="1">
      <alignment horizontal="center" vertical="center"/>
    </xf>
    <xf numFmtId="0" fontId="0" fillId="0" borderId="0" xfId="0" applyFont="1" applyFill="1" applyAlignment="1">
      <alignment horizontal="center" vertical="center"/>
    </xf>
    <xf numFmtId="1" fontId="1" fillId="0" borderId="0" xfId="0" applyNumberFormat="1" applyFont="1" applyAlignment="1">
      <alignment horizontal="center" vertical="center"/>
    </xf>
    <xf numFmtId="1" fontId="18" fillId="0" borderId="0" xfId="0" applyNumberFormat="1" applyFont="1" applyAlignment="1">
      <alignment horizontal="center" vertical="center"/>
    </xf>
    <xf numFmtId="0" fontId="47" fillId="3" borderId="14" xfId="0" applyFont="1" applyFill="1" applyBorder="1" applyAlignment="1">
      <alignment horizontal="center"/>
    </xf>
    <xf numFmtId="0" fontId="47" fillId="3" borderId="0" xfId="0" applyFont="1" applyFill="1" applyBorder="1" applyAlignment="1">
      <alignment horizontal="center"/>
    </xf>
    <xf numFmtId="1" fontId="0" fillId="4" borderId="5" xfId="0" applyNumberFormat="1" applyFont="1" applyFill="1" applyBorder="1" applyAlignment="1">
      <alignment horizontal="center"/>
    </xf>
    <xf numFmtId="0" fontId="0" fillId="4" borderId="5" xfId="0" applyFont="1" applyFill="1" applyBorder="1" applyAlignment="1">
      <alignment horizontal="center"/>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4" borderId="13" xfId="0" applyFont="1" applyFill="1" applyBorder="1" applyAlignment="1">
      <alignment horizontal="center"/>
    </xf>
    <xf numFmtId="0" fontId="0" fillId="4" borderId="2" xfId="0" applyFont="1"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9" fillId="3" borderId="14" xfId="0" applyFont="1" applyFill="1" applyBorder="1" applyAlignment="1">
      <alignment horizontal="right"/>
    </xf>
    <xf numFmtId="0" fontId="9" fillId="3" borderId="0" xfId="0" applyFont="1" applyFill="1" applyBorder="1" applyAlignment="1">
      <alignment horizontal="right"/>
    </xf>
    <xf numFmtId="0" fontId="43" fillId="3" borderId="13"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0" fillId="4" borderId="2" xfId="0" applyFont="1" applyFill="1" applyBorder="1" applyAlignment="1">
      <alignment horizontal="right"/>
    </xf>
    <xf numFmtId="2" fontId="0" fillId="8" borderId="0" xfId="0" applyNumberFormat="1" applyFill="1" applyAlignment="1">
      <alignment horizontal="center"/>
    </xf>
    <xf numFmtId="0" fontId="0" fillId="8" borderId="0" xfId="0" applyFill="1" applyAlignment="1">
      <alignment horizontal="right"/>
    </xf>
    <xf numFmtId="0" fontId="0" fillId="0" borderId="0" xfId="0" applyFill="1" applyBorder="1" applyAlignment="1">
      <alignment horizontal="center"/>
    </xf>
    <xf numFmtId="1" fontId="0" fillId="4" borderId="8" xfId="0" applyNumberFormat="1" applyFill="1" applyBorder="1" applyAlignment="1">
      <alignment horizontal="center" vertical="center"/>
    </xf>
    <xf numFmtId="1" fontId="0" fillId="4" borderId="6" xfId="0" applyNumberFormat="1" applyFill="1" applyBorder="1" applyAlignment="1">
      <alignment horizontal="center" vertical="center"/>
    </xf>
    <xf numFmtId="0" fontId="0" fillId="4" borderId="13" xfId="0" applyFont="1" applyFill="1" applyBorder="1" applyAlignment="1">
      <alignment horizontal="center"/>
    </xf>
    <xf numFmtId="0" fontId="0" fillId="4" borderId="2" xfId="0" applyFont="1" applyFill="1" applyBorder="1" applyAlignment="1">
      <alignment horizontal="center"/>
    </xf>
    <xf numFmtId="0" fontId="12" fillId="8" borderId="14" xfId="0" applyFont="1" applyFill="1" applyBorder="1" applyAlignment="1">
      <alignment horizontal="justify" vertical="center" wrapText="1"/>
    </xf>
    <xf numFmtId="0" fontId="12" fillId="8" borderId="0" xfId="0" applyFont="1" applyFill="1" applyBorder="1" applyAlignment="1">
      <alignment horizontal="justify" vertical="center" wrapText="1"/>
    </xf>
    <xf numFmtId="0" fontId="12" fillId="8" borderId="3" xfId="0"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0" fillId="4" borderId="3" xfId="0" applyFont="1" applyFill="1" applyBorder="1" applyAlignment="1">
      <alignment horizontal="center"/>
    </xf>
    <xf numFmtId="1" fontId="0" fillId="3" borderId="0" xfId="0" applyNumberFormat="1" applyFont="1" applyFill="1" applyBorder="1" applyAlignment="1">
      <alignment horizontal="center"/>
    </xf>
    <xf numFmtId="0" fontId="0" fillId="3" borderId="0" xfId="0" applyFont="1" applyFill="1" applyBorder="1" applyAlignment="1">
      <alignment horizontal="center"/>
    </xf>
    <xf numFmtId="9" fontId="14" fillId="3" borderId="14" xfId="0" applyNumberFormat="1" applyFont="1" applyFill="1" applyBorder="1" applyAlignment="1">
      <alignment horizontal="right"/>
    </xf>
    <xf numFmtId="9" fontId="14" fillId="3" borderId="0" xfId="0" applyNumberFormat="1" applyFont="1" applyFill="1" applyBorder="1" applyAlignment="1">
      <alignment horizontal="right"/>
    </xf>
    <xf numFmtId="0" fontId="0" fillId="4" borderId="3" xfId="0" applyFont="1" applyFill="1" applyBorder="1" applyAlignment="1">
      <alignment horizontal="left" vertical="center"/>
    </xf>
    <xf numFmtId="0" fontId="0" fillId="4" borderId="12" xfId="0" applyFont="1" applyFill="1" applyBorder="1" applyAlignment="1">
      <alignment horizontal="left" vertical="center"/>
    </xf>
    <xf numFmtId="0" fontId="0" fillId="0" borderId="0" xfId="0" applyFill="1" applyBorder="1" applyAlignment="1">
      <alignment horizontal="left" vertical="center"/>
    </xf>
    <xf numFmtId="0" fontId="0" fillId="4" borderId="8" xfId="0" applyFont="1" applyFill="1"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1" xfId="0" applyFill="1" applyBorder="1" applyAlignment="1">
      <alignment horizontal="center"/>
    </xf>
    <xf numFmtId="0" fontId="0" fillId="8" borderId="0" xfId="0" applyFill="1" applyAlignment="1">
      <alignment horizontal="center"/>
    </xf>
    <xf numFmtId="1" fontId="0" fillId="4" borderId="3" xfId="0" applyNumberFormat="1" applyFont="1" applyFill="1" applyBorder="1" applyAlignment="1">
      <alignment horizontal="center"/>
    </xf>
    <xf numFmtId="0" fontId="0" fillId="4" borderId="1" xfId="0" applyFont="1" applyFill="1" applyBorder="1" applyAlignment="1">
      <alignment horizontal="center"/>
    </xf>
    <xf numFmtId="1" fontId="0" fillId="4" borderId="3" xfId="0" applyNumberFormat="1" applyFont="1" applyFill="1" applyBorder="1" applyAlignment="1">
      <alignment horizontal="right"/>
    </xf>
    <xf numFmtId="0" fontId="0" fillId="4" borderId="1" xfId="0" applyFont="1" applyFill="1" applyBorder="1" applyAlignment="1">
      <alignment horizontal="right"/>
    </xf>
    <xf numFmtId="1" fontId="0" fillId="4" borderId="1" xfId="0" applyNumberFormat="1" applyFont="1" applyFill="1" applyBorder="1" applyAlignment="1">
      <alignment horizontal="center"/>
    </xf>
    <xf numFmtId="0" fontId="0" fillId="4" borderId="13" xfId="0" applyFont="1" applyFill="1" applyBorder="1" applyAlignment="1">
      <alignment horizontal="right"/>
    </xf>
    <xf numFmtId="0" fontId="0" fillId="4" borderId="13" xfId="0" applyFont="1" applyFill="1" applyBorder="1" applyAlignment="1">
      <alignment horizontal="left" vertical="center"/>
    </xf>
    <xf numFmtId="0" fontId="0" fillId="4" borderId="11" xfId="0" applyFont="1" applyFill="1" applyBorder="1" applyAlignment="1">
      <alignment horizontal="left" vertical="center"/>
    </xf>
    <xf numFmtId="1" fontId="0" fillId="4" borderId="3" xfId="0" applyNumberFormat="1" applyFill="1" applyBorder="1" applyAlignment="1">
      <alignment horizontal="center" vertical="center"/>
    </xf>
    <xf numFmtId="1" fontId="0" fillId="4" borderId="12" xfId="0" applyNumberFormat="1" applyFill="1" applyBorder="1" applyAlignment="1">
      <alignment horizontal="center" vertical="center"/>
    </xf>
    <xf numFmtId="1" fontId="0" fillId="4" borderId="14" xfId="0" applyNumberFormat="1" applyFill="1" applyBorder="1" applyAlignment="1">
      <alignment horizontal="center" vertical="center"/>
    </xf>
    <xf numFmtId="1" fontId="0" fillId="4" borderId="15" xfId="0" applyNumberFormat="1" applyFill="1" applyBorder="1" applyAlignment="1">
      <alignment horizontal="center" vertical="center"/>
    </xf>
    <xf numFmtId="0" fontId="14" fillId="4" borderId="2" xfId="20" applyFont="1" applyFill="1" applyBorder="1" applyAlignment="1">
      <alignment vertical="center"/>
    </xf>
    <xf numFmtId="0" fontId="14" fillId="4" borderId="0" xfId="20" applyFont="1" applyFill="1" applyBorder="1" applyAlignment="1">
      <alignment/>
    </xf>
    <xf numFmtId="1" fontId="0" fillId="0" borderId="0" xfId="0" applyNumberFormat="1" applyFill="1" applyBorder="1" applyAlignment="1">
      <alignment vertical="center"/>
    </xf>
    <xf numFmtId="0" fontId="0" fillId="0" borderId="0" xfId="0" applyFont="1" applyFill="1" applyBorder="1" applyAlignment="1">
      <alignment/>
    </xf>
    <xf numFmtId="0" fontId="41" fillId="0" borderId="0" xfId="2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4" borderId="2" xfId="0" applyFont="1" applyFill="1" applyBorder="1" applyAlignment="1">
      <alignment horizontal="center"/>
    </xf>
    <xf numFmtId="1" fontId="0" fillId="4" borderId="13" xfId="0" applyNumberFormat="1" applyFill="1" applyBorder="1" applyAlignment="1">
      <alignment horizontal="center" vertical="center"/>
    </xf>
    <xf numFmtId="1" fontId="0" fillId="4" borderId="11" xfId="0" applyNumberFormat="1" applyFill="1" applyBorder="1" applyAlignment="1">
      <alignment horizontal="center" vertical="center"/>
    </xf>
    <xf numFmtId="0" fontId="0"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quotePrefix="1">
      <alignment/>
    </xf>
    <xf numFmtId="2" fontId="0" fillId="0" borderId="0" xfId="0" applyNumberFormat="1" applyFont="1" applyFill="1" applyBorder="1" applyAlignment="1">
      <alignment horizontal="center"/>
    </xf>
    <xf numFmtId="0" fontId="3" fillId="0" borderId="0" xfId="0" applyFont="1" applyFill="1" applyBorder="1" applyAlignment="1">
      <alignment/>
    </xf>
    <xf numFmtId="0" fontId="0" fillId="0" borderId="0" xfId="0" applyFont="1" applyFill="1" applyBorder="1" applyAlignment="1">
      <alignment/>
    </xf>
    <xf numFmtId="1" fontId="0" fillId="0" borderId="0" xfId="0" applyNumberFormat="1" applyFill="1" applyBorder="1" applyAlignment="1">
      <alignment/>
    </xf>
    <xf numFmtId="2" fontId="0" fillId="0" borderId="0" xfId="0" applyNumberFormat="1" applyFill="1" applyBorder="1" applyAlignment="1">
      <alignment/>
    </xf>
    <xf numFmtId="0" fontId="64" fillId="0" borderId="0" xfId="0" applyFont="1" applyFill="1" applyBorder="1" applyAlignment="1">
      <alignment/>
    </xf>
    <xf numFmtId="0" fontId="0" fillId="0" borderId="0" xfId="0" applyAlignment="1">
      <alignment horizontal="justify" vertical="top" wrapText="1"/>
    </xf>
    <xf numFmtId="0" fontId="0" fillId="0" borderId="0" xfId="0" applyAlignment="1">
      <alignment horizontal="justify" vertical="justify" wrapText="1"/>
    </xf>
    <xf numFmtId="0" fontId="1" fillId="0" borderId="0" xfId="0" applyFont="1" applyAlignment="1">
      <alignment horizontal="center"/>
    </xf>
    <xf numFmtId="0" fontId="0" fillId="4" borderId="13" xfId="0" applyFill="1" applyBorder="1" applyAlignment="1">
      <alignment horizontal="center"/>
    </xf>
    <xf numFmtId="0" fontId="0" fillId="4" borderId="2" xfId="0" applyFill="1" applyBorder="1" applyAlignment="1">
      <alignment horizontal="center"/>
    </xf>
    <xf numFmtId="1" fontId="0" fillId="4" borderId="3" xfId="0" applyNumberFormat="1" applyFill="1" applyBorder="1" applyAlignment="1">
      <alignment horizontal="center"/>
    </xf>
    <xf numFmtId="1" fontId="0" fillId="4" borderId="1" xfId="0" applyNumberFormat="1" applyFill="1" applyBorder="1" applyAlignment="1">
      <alignment horizontal="center"/>
    </xf>
    <xf numFmtId="1" fontId="0" fillId="4" borderId="8" xfId="0" applyNumberFormat="1" applyFill="1" applyBorder="1" applyAlignment="1">
      <alignment horizontal="center"/>
    </xf>
    <xf numFmtId="1" fontId="0" fillId="4" borderId="6" xfId="0" applyNumberFormat="1" applyFill="1" applyBorder="1" applyAlignment="1">
      <alignment horizontal="center"/>
    </xf>
    <xf numFmtId="1" fontId="0" fillId="0" borderId="0" xfId="0" applyNumberFormat="1" applyFill="1" applyBorder="1" applyAlignment="1">
      <alignment horizontal="center"/>
    </xf>
    <xf numFmtId="0" fontId="0" fillId="3" borderId="1" xfId="0" applyFill="1" applyBorder="1" applyAlignment="1">
      <alignment horizontal="center"/>
    </xf>
    <xf numFmtId="0" fontId="0" fillId="4" borderId="12" xfId="0" applyFill="1" applyBorder="1" applyAlignment="1">
      <alignment horizontal="center"/>
    </xf>
    <xf numFmtId="1" fontId="0" fillId="4" borderId="0" xfId="0" applyNumberFormat="1" applyFill="1" applyBorder="1" applyAlignment="1">
      <alignment horizontal="center" vertical="center"/>
    </xf>
    <xf numFmtId="1" fontId="0" fillId="4" borderId="1" xfId="0" applyNumberForma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4" borderId="13" xfId="0" applyFont="1" applyFill="1" applyBorder="1" applyAlignment="1">
      <alignment horizontal="center"/>
    </xf>
    <xf numFmtId="0" fontId="0" fillId="0" borderId="0" xfId="0" applyFont="1" applyBorder="1" applyAlignment="1">
      <alignment horizontal="right" vertical="center"/>
    </xf>
    <xf numFmtId="0" fontId="0" fillId="0" borderId="0" xfId="0" applyFont="1" applyBorder="1" applyAlignment="1" quotePrefix="1">
      <alignment horizontal="center" vertical="center"/>
    </xf>
    <xf numFmtId="0" fontId="0" fillId="0" borderId="2" xfId="0" applyFont="1" applyBorder="1" applyAlignment="1">
      <alignment horizontal="center" vertical="center"/>
    </xf>
    <xf numFmtId="0" fontId="0" fillId="0" borderId="2" xfId="0" applyFont="1" applyBorder="1" applyAlignment="1" quotePrefix="1">
      <alignment horizontal="center" vertical="center"/>
    </xf>
    <xf numFmtId="0" fontId="0" fillId="0" borderId="0" xfId="0" applyFont="1" applyAlignment="1">
      <alignment horizontal="right"/>
    </xf>
    <xf numFmtId="2" fontId="0" fillId="0" borderId="0" xfId="0" applyNumberFormat="1" applyFont="1" applyBorder="1" applyAlignment="1" quotePrefix="1">
      <alignment horizontal="center" vertical="center"/>
    </xf>
    <xf numFmtId="0" fontId="0" fillId="0" borderId="0" xfId="0" applyFont="1" applyAlignment="1">
      <alignment horizontal="right"/>
    </xf>
    <xf numFmtId="1" fontId="0" fillId="0" borderId="0" xfId="0" applyNumberFormat="1" applyFont="1" applyAlignment="1">
      <alignment horizontal="center"/>
    </xf>
    <xf numFmtId="0" fontId="0" fillId="4" borderId="0" xfId="0" applyFont="1" applyFill="1" applyAlignment="1">
      <alignment horizontal="center" vertical="center"/>
    </xf>
    <xf numFmtId="2" fontId="0" fillId="0" borderId="4"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4"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wrapText="1"/>
    </xf>
    <xf numFmtId="0" fontId="23" fillId="0" borderId="0" xfId="0" applyFont="1" applyAlignment="1">
      <alignment horizontal="center" vertical="center" wrapText="1"/>
    </xf>
    <xf numFmtId="2" fontId="18" fillId="0" borderId="0" xfId="0" applyNumberFormat="1" applyFont="1" applyAlignment="1">
      <alignment horizontal="center" vertical="center"/>
    </xf>
    <xf numFmtId="0" fontId="23" fillId="0" borderId="0" xfId="0" applyFont="1" applyAlignment="1">
      <alignment horizontal="center" vertical="top" wrapText="1"/>
    </xf>
    <xf numFmtId="2"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quotePrefix="1">
      <alignment horizontal="center" vertical="center" wrapText="1"/>
    </xf>
    <xf numFmtId="0" fontId="0" fillId="0" borderId="0" xfId="0" applyAlignment="1">
      <alignment horizontal="left" vertical="center"/>
    </xf>
    <xf numFmtId="2" fontId="0" fillId="0" borderId="0" xfId="0" applyNumberFormat="1" applyFont="1" applyAlignment="1" quotePrefix="1">
      <alignment horizontal="center" vertical="center"/>
    </xf>
    <xf numFmtId="0" fontId="4" fillId="0" borderId="0" xfId="0" applyFont="1" applyAlignment="1">
      <alignment horizontal="center" vertical="center" wrapText="1"/>
    </xf>
    <xf numFmtId="2" fontId="18" fillId="0" borderId="0" xfId="0" applyNumberFormat="1" applyFont="1" applyAlignment="1">
      <alignment horizontal="center" vertical="center"/>
    </xf>
    <xf numFmtId="0" fontId="0" fillId="0" borderId="0" xfId="0" applyFont="1" applyAlignment="1">
      <alignment horizontal="right" vertical="center"/>
    </xf>
    <xf numFmtId="0" fontId="5" fillId="0" borderId="2" xfId="0" applyFont="1" applyBorder="1" applyAlignment="1">
      <alignment horizontal="center" vertical="center"/>
    </xf>
    <xf numFmtId="0" fontId="0" fillId="0" borderId="0" xfId="0" applyFont="1" applyAlignment="1" quotePrefix="1">
      <alignment horizontal="center"/>
    </xf>
    <xf numFmtId="0" fontId="0" fillId="0" borderId="0" xfId="0" applyFont="1" applyFill="1" applyAlignment="1">
      <alignment horizontal="center" vertical="center"/>
    </xf>
    <xf numFmtId="0" fontId="0" fillId="0" borderId="0" xfId="0" applyFont="1" applyFill="1" applyAlignment="1" quotePrefix="1">
      <alignment horizontal="center" vertical="center"/>
    </xf>
    <xf numFmtId="1" fontId="1" fillId="0" borderId="0" xfId="0" applyNumberFormat="1" applyFont="1" applyAlignment="1">
      <alignment horizontal="center" vertical="center"/>
    </xf>
    <xf numFmtId="0" fontId="0" fillId="0" borderId="0" xfId="0" applyAlignment="1">
      <alignment horizontal="right" vertical="center"/>
    </xf>
    <xf numFmtId="0" fontId="0" fillId="0" borderId="0" xfId="0" applyAlignment="1">
      <alignment horizontal="center"/>
    </xf>
    <xf numFmtId="2" fontId="0" fillId="0" borderId="0" xfId="0" applyNumberFormat="1" applyAlignment="1">
      <alignment horizontal="center" vertical="center"/>
    </xf>
    <xf numFmtId="0" fontId="12" fillId="0" borderId="0" xfId="0" applyFont="1" applyAlignment="1">
      <alignment horizontal="center"/>
    </xf>
    <xf numFmtId="165" fontId="0" fillId="0" borderId="0" xfId="0" applyNumberFormat="1" applyBorder="1" applyAlignment="1" quotePrefix="1">
      <alignment horizontal="center" vertical="center"/>
    </xf>
    <xf numFmtId="165" fontId="0" fillId="0" borderId="0" xfId="0" applyNumberFormat="1" applyBorder="1" applyAlignment="1">
      <alignment horizontal="center" vertical="center"/>
    </xf>
    <xf numFmtId="0" fontId="9" fillId="0" borderId="0" xfId="0" applyFont="1" applyAlignment="1">
      <alignment horizontal="center"/>
    </xf>
    <xf numFmtId="0" fontId="0" fillId="0" borderId="0" xfId="0" applyAlignment="1">
      <alignment horizontal="right"/>
    </xf>
    <xf numFmtId="0" fontId="0" fillId="0" borderId="1" xfId="0" applyFont="1" applyBorder="1" applyAlignment="1">
      <alignment horizontal="right" vertical="center"/>
    </xf>
    <xf numFmtId="0" fontId="0" fillId="0" borderId="1" xfId="0" applyFont="1" applyBorder="1" applyAlignment="1">
      <alignment horizontal="left"/>
    </xf>
    <xf numFmtId="0" fontId="0" fillId="0" borderId="1" xfId="0" applyBorder="1" applyAlignment="1">
      <alignment horizontal="center"/>
    </xf>
    <xf numFmtId="0" fontId="5" fillId="0" borderId="0" xfId="0" applyFont="1" applyAlignment="1">
      <alignment horizontal="right" vertical="center"/>
    </xf>
    <xf numFmtId="0" fontId="20" fillId="0" borderId="0" xfId="0" applyFont="1" applyAlignment="1">
      <alignment horizontal="right" vertical="center" wrapText="1"/>
    </xf>
    <xf numFmtId="0" fontId="0" fillId="0" borderId="0" xfId="0" applyFont="1" applyAlignment="1">
      <alignment horizontal="right"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2" fontId="0" fillId="0" borderId="1" xfId="0" applyNumberFormat="1" applyFont="1" applyBorder="1" applyAlignment="1">
      <alignment horizontal="right" vertical="center"/>
    </xf>
    <xf numFmtId="1" fontId="0" fillId="0" borderId="0" xfId="0" applyNumberFormat="1" applyFont="1" applyAlignment="1" quotePrefix="1">
      <alignment horizontal="center" vertical="center"/>
    </xf>
    <xf numFmtId="1" fontId="0" fillId="0" borderId="0" xfId="0" applyNumberFormat="1" applyFont="1" applyAlignment="1">
      <alignment horizontal="center" vertical="center"/>
    </xf>
    <xf numFmtId="1" fontId="1" fillId="0" borderId="0" xfId="0" applyNumberFormat="1" applyFont="1" applyBorder="1" applyAlignment="1">
      <alignment horizontal="center" vertical="center"/>
    </xf>
    <xf numFmtId="1" fontId="0" fillId="0" borderId="0" xfId="0" applyNumberFormat="1" applyFont="1" applyAlignment="1" quotePrefix="1">
      <alignment horizontal="center" vertical="center"/>
    </xf>
    <xf numFmtId="2" fontId="0" fillId="0" borderId="2" xfId="0" applyNumberFormat="1" applyFont="1" applyBorder="1" applyAlignment="1">
      <alignment horizontal="center" vertical="center"/>
    </xf>
    <xf numFmtId="1" fontId="0" fillId="0" borderId="0" xfId="0" applyNumberFormat="1" applyAlignment="1">
      <alignment horizontal="center" vertical="center"/>
    </xf>
    <xf numFmtId="1" fontId="0" fillId="0" borderId="0" xfId="0" applyNumberFormat="1" applyFont="1" applyAlignment="1">
      <alignment horizontal="center" vertical="center"/>
    </xf>
    <xf numFmtId="0" fontId="0" fillId="0" borderId="1" xfId="0" applyBorder="1" applyAlignment="1">
      <alignment horizontal="left" vertical="center"/>
    </xf>
    <xf numFmtId="2" fontId="0" fillId="0" borderId="0" xfId="0" applyNumberFormat="1" applyFont="1" applyFill="1" applyAlignment="1">
      <alignment horizontal="center" vertical="center"/>
    </xf>
    <xf numFmtId="2"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Font="1" applyAlignment="1" quotePrefix="1">
      <alignment horizontal="right" vertical="center"/>
    </xf>
    <xf numFmtId="1" fontId="0" fillId="0" borderId="2" xfId="0" applyNumberFormat="1" applyFont="1" applyBorder="1" applyAlignment="1">
      <alignment horizontal="center" vertical="center"/>
    </xf>
    <xf numFmtId="0" fontId="0" fillId="0" borderId="0" xfId="0" applyFill="1" applyBorder="1" applyAlignment="1" quotePrefix="1">
      <alignment horizontal="center" vertical="center"/>
    </xf>
    <xf numFmtId="0" fontId="5" fillId="0" borderId="0" xfId="0" applyFont="1" applyAlignment="1">
      <alignment horizontal="center" vertical="center" wrapText="1"/>
    </xf>
    <xf numFmtId="0" fontId="0" fillId="0" borderId="1" xfId="0" applyBorder="1" applyAlignment="1">
      <alignment horizontal="center" vertical="center"/>
    </xf>
    <xf numFmtId="0" fontId="0" fillId="0" borderId="4" xfId="0" applyFont="1" applyBorder="1" applyAlignment="1" quotePrefix="1">
      <alignment horizontal="center" vertical="center"/>
    </xf>
    <xf numFmtId="0" fontId="0" fillId="0" borderId="4" xfId="0" applyBorder="1" applyAlignment="1">
      <alignment horizontal="center"/>
    </xf>
    <xf numFmtId="2" fontId="0" fillId="0" borderId="4" xfId="0" applyNumberFormat="1" applyBorder="1" applyAlignment="1">
      <alignment horizontal="center"/>
    </xf>
    <xf numFmtId="165" fontId="5" fillId="0" borderId="0" xfId="0" applyNumberFormat="1" applyFont="1" applyAlignment="1">
      <alignment horizontal="center" vertical="center"/>
    </xf>
    <xf numFmtId="0" fontId="22" fillId="0" borderId="0" xfId="0" applyFont="1" applyAlignment="1">
      <alignment horizontal="right" vertical="center"/>
    </xf>
    <xf numFmtId="0" fontId="5" fillId="0" borderId="0" xfId="0" applyFont="1" applyAlignment="1">
      <alignment horizontal="center" vertical="center"/>
    </xf>
    <xf numFmtId="0" fontId="0" fillId="0" borderId="0" xfId="0" applyFont="1" applyAlignment="1" quotePrefix="1">
      <alignment horizontal="center" vertical="center"/>
    </xf>
    <xf numFmtId="1" fontId="0" fillId="0" borderId="8" xfId="0" applyNumberFormat="1" applyFont="1" applyBorder="1" applyAlignment="1">
      <alignment horizontal="center" vertical="center"/>
    </xf>
    <xf numFmtId="1" fontId="0" fillId="0" borderId="6" xfId="0" applyNumberFormat="1" applyFont="1" applyBorder="1" applyAlignment="1">
      <alignment horizontal="center" vertical="center"/>
    </xf>
    <xf numFmtId="2" fontId="0" fillId="0" borderId="8" xfId="0" applyNumberFormat="1" applyBorder="1" applyAlignment="1">
      <alignment horizontal="center"/>
    </xf>
    <xf numFmtId="2" fontId="0" fillId="0" borderId="6" xfId="0" applyNumberFormat="1" applyBorder="1" applyAlignment="1">
      <alignment horizontal="center"/>
    </xf>
    <xf numFmtId="0" fontId="0" fillId="0" borderId="2" xfId="0" applyFont="1" applyBorder="1" applyAlignment="1">
      <alignment horizontal="center" vertical="center"/>
    </xf>
    <xf numFmtId="0" fontId="23" fillId="0" borderId="0" xfId="0" applyFont="1" applyAlignment="1">
      <alignment horizontal="center" wrapText="1"/>
    </xf>
    <xf numFmtId="2" fontId="0" fillId="0" borderId="0" xfId="0" applyNumberFormat="1" applyFont="1" applyAlignment="1">
      <alignment horizontal="center" vertical="center" wrapText="1"/>
    </xf>
    <xf numFmtId="2" fontId="5" fillId="0" borderId="0" xfId="0" applyNumberFormat="1" applyFont="1" applyAlignment="1">
      <alignment horizontal="center" vertical="center"/>
    </xf>
    <xf numFmtId="0" fontId="0" fillId="0" borderId="0" xfId="0" applyFont="1" applyAlignment="1">
      <alignment horizontal="justify" vertical="center" wrapText="1"/>
    </xf>
    <xf numFmtId="2" fontId="1" fillId="0" borderId="0" xfId="0" applyNumberFormat="1" applyFont="1" applyAlignment="1">
      <alignment horizontal="center"/>
    </xf>
    <xf numFmtId="2" fontId="0" fillId="0" borderId="1" xfId="0" applyNumberFormat="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quotePrefix="1">
      <alignment horizontal="center" vertical="center"/>
    </xf>
    <xf numFmtId="0" fontId="14" fillId="0" borderId="0" xfId="0" applyFont="1" applyAlignment="1">
      <alignment horizontal="right" vertical="center" wrapText="1"/>
    </xf>
    <xf numFmtId="1" fontId="0" fillId="0" borderId="0" xfId="0" applyNumberFormat="1" applyAlignment="1" quotePrefix="1">
      <alignment horizontal="center" vertical="center"/>
    </xf>
    <xf numFmtId="0" fontId="0" fillId="0" borderId="2" xfId="0" applyFont="1" applyBorder="1" applyAlignment="1">
      <alignment horizontal="left" vertical="center"/>
    </xf>
    <xf numFmtId="0" fontId="23" fillId="0" borderId="0" xfId="0" applyFont="1" applyFill="1" applyAlignment="1">
      <alignment horizontal="center" vertical="center"/>
    </xf>
    <xf numFmtId="0" fontId="0" fillId="0" borderId="0" xfId="0" applyFill="1" applyAlignment="1">
      <alignment horizontal="center" vertical="center"/>
    </xf>
    <xf numFmtId="1" fontId="0" fillId="0" borderId="0" xfId="0" applyNumberFormat="1" applyFont="1" applyAlignment="1">
      <alignment horizontal="left" vertical="center"/>
    </xf>
    <xf numFmtId="1" fontId="1" fillId="0" borderId="0" xfId="0" applyNumberFormat="1" applyFont="1" applyAlignment="1">
      <alignment horizontal="center"/>
    </xf>
    <xf numFmtId="0" fontId="0" fillId="0" borderId="1" xfId="0" applyFont="1" applyBorder="1" applyAlignment="1">
      <alignment horizontal="left" vertical="center"/>
    </xf>
    <xf numFmtId="0" fontId="17" fillId="0" borderId="2" xfId="0" applyFont="1" applyBorder="1" applyAlignment="1">
      <alignment horizontal="center" vertical="center"/>
    </xf>
    <xf numFmtId="2" fontId="0" fillId="0" borderId="0" xfId="0" applyNumberFormat="1" applyFont="1" applyAlignment="1" quotePrefix="1">
      <alignment horizontal="center" vertical="center"/>
    </xf>
    <xf numFmtId="164" fontId="0" fillId="0" borderId="0" xfId="0" applyNumberFormat="1" applyFont="1" applyAlignment="1">
      <alignment horizontal="center" vertical="center"/>
    </xf>
    <xf numFmtId="1" fontId="24" fillId="0" borderId="0" xfId="0" applyNumberFormat="1"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right"/>
    </xf>
    <xf numFmtId="1" fontId="0" fillId="0" borderId="2" xfId="0" applyNumberFormat="1" applyFont="1" applyBorder="1" applyAlignment="1">
      <alignment horizontal="center"/>
    </xf>
    <xf numFmtId="0" fontId="0" fillId="0" borderId="0" xfId="0" applyFont="1" applyBorder="1" applyAlignment="1">
      <alignment horizontal="center"/>
    </xf>
    <xf numFmtId="2" fontId="18" fillId="0" borderId="2" xfId="0" applyNumberFormat="1" applyFont="1" applyBorder="1" applyAlignment="1">
      <alignment horizontal="center" vertical="center"/>
    </xf>
    <xf numFmtId="0" fontId="0" fillId="0" borderId="0" xfId="0" applyFont="1" applyAlignment="1">
      <alignment horizontal="right" vertical="center" wrapText="1"/>
    </xf>
    <xf numFmtId="1" fontId="0" fillId="0" borderId="0" xfId="0" applyNumberFormat="1" applyFont="1" applyFill="1" applyAlignment="1" quotePrefix="1">
      <alignment horizontal="center" vertical="center"/>
    </xf>
    <xf numFmtId="1" fontId="0" fillId="0" borderId="0" xfId="0" applyNumberFormat="1" applyFont="1" applyFill="1" applyAlignment="1">
      <alignment horizontal="center" vertical="center"/>
    </xf>
    <xf numFmtId="1" fontId="23" fillId="0" borderId="0" xfId="0" applyNumberFormat="1" applyFont="1" applyAlignment="1">
      <alignment horizontal="center" wrapText="1"/>
    </xf>
    <xf numFmtId="0" fontId="23" fillId="0" borderId="0" xfId="0" applyFont="1" applyAlignment="1">
      <alignment horizontal="center"/>
    </xf>
    <xf numFmtId="0" fontId="0" fillId="0" borderId="2" xfId="0" applyFont="1" applyBorder="1" applyAlignment="1">
      <alignment horizontal="center" vertical="center"/>
    </xf>
    <xf numFmtId="2" fontId="0" fillId="0" borderId="2" xfId="0" applyNumberFormat="1" applyFont="1" applyBorder="1" applyAlignment="1">
      <alignment horizontal="center"/>
    </xf>
    <xf numFmtId="0" fontId="4" fillId="0" borderId="0" xfId="0" applyFont="1" applyAlignment="1">
      <alignment horizontal="right" vertical="center"/>
    </xf>
    <xf numFmtId="0" fontId="40" fillId="0" borderId="0" xfId="0" applyFont="1" applyFill="1" applyAlignment="1">
      <alignment horizontal="center" vertical="center"/>
    </xf>
    <xf numFmtId="0" fontId="0" fillId="2" borderId="8"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4" fillId="0" borderId="2" xfId="0" applyFont="1" applyBorder="1" applyAlignment="1">
      <alignment horizontal="center" vertical="center"/>
    </xf>
    <xf numFmtId="0" fontId="0" fillId="0" borderId="0" xfId="0" applyAlignment="1" quotePrefix="1">
      <alignment horizontal="left" vertical="center"/>
    </xf>
    <xf numFmtId="0" fontId="1" fillId="0" borderId="0" xfId="0" applyFont="1" applyAlignment="1">
      <alignment horizontal="right" vertical="center"/>
    </xf>
    <xf numFmtId="0" fontId="0" fillId="0" borderId="0" xfId="0" applyBorder="1" applyAlignment="1">
      <alignment horizontal="center" vertical="center"/>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12" xfId="0" applyFont="1" applyBorder="1" applyAlignment="1">
      <alignment horizontal="center" vertical="center" wrapText="1"/>
    </xf>
    <xf numFmtId="0" fontId="0" fillId="0" borderId="0" xfId="0" applyBorder="1" applyAlignment="1" quotePrefix="1">
      <alignment horizontal="center" vertical="center"/>
    </xf>
    <xf numFmtId="2" fontId="0" fillId="0" borderId="0" xfId="0" applyNumberFormat="1" applyBorder="1" applyAlignment="1">
      <alignment horizontal="center" vertical="center"/>
    </xf>
    <xf numFmtId="0" fontId="0" fillId="0" borderId="0" xfId="0" applyFill="1" applyBorder="1" applyAlignment="1">
      <alignment horizontal="center" vertical="center"/>
    </xf>
    <xf numFmtId="0" fontId="18" fillId="0" borderId="0" xfId="0" applyFont="1" applyAlignment="1">
      <alignment horizontal="right" vertical="center" wrapText="1"/>
    </xf>
    <xf numFmtId="0" fontId="5" fillId="0" borderId="0" xfId="0" applyFont="1" applyAlignment="1">
      <alignment horizontal="right"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8" xfId="0"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0" fontId="0" fillId="0" borderId="6" xfId="0" applyBorder="1" applyAlignment="1">
      <alignment horizontal="center"/>
    </xf>
    <xf numFmtId="0" fontId="0" fillId="0" borderId="0" xfId="0" applyFont="1" applyAlignment="1">
      <alignment horizontal="center" wrapText="1"/>
    </xf>
    <xf numFmtId="1" fontId="3" fillId="0" borderId="4" xfId="0" applyNumberFormat="1" applyFont="1" applyBorder="1" applyAlignment="1">
      <alignment horizontal="center" vertical="center"/>
    </xf>
    <xf numFmtId="2"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23" fillId="0" borderId="0" xfId="0" applyFont="1" applyAlignment="1">
      <alignment horizontal="center" vertical="center"/>
    </xf>
    <xf numFmtId="0" fontId="39" fillId="0" borderId="0" xfId="0" applyFont="1" applyFill="1" applyAlignment="1">
      <alignment horizontal="center" vertical="center"/>
    </xf>
    <xf numFmtId="0" fontId="12" fillId="0" borderId="0" xfId="0" applyFont="1" applyAlignment="1">
      <alignment horizontal="right" vertical="center" wrapText="1"/>
    </xf>
    <xf numFmtId="0" fontId="0" fillId="0" borderId="0" xfId="0" applyAlignment="1">
      <alignment horizontal="center" vertical="center" wrapText="1"/>
    </xf>
    <xf numFmtId="1" fontId="18" fillId="0" borderId="2" xfId="0" applyNumberFormat="1" applyFont="1" applyBorder="1" applyAlignment="1">
      <alignment horizontal="center" vertical="center"/>
    </xf>
    <xf numFmtId="2" fontId="0" fillId="0" borderId="2" xfId="0" applyNumberFormat="1" applyBorder="1" applyAlignment="1">
      <alignment horizontal="right" vertical="center"/>
    </xf>
    <xf numFmtId="0" fontId="0" fillId="0" borderId="2" xfId="0" applyBorder="1" applyAlignment="1">
      <alignment horizontal="right" vertical="center"/>
    </xf>
    <xf numFmtId="165" fontId="5" fillId="0" borderId="0" xfId="0" applyNumberFormat="1" applyFont="1" applyAlignment="1" quotePrefix="1">
      <alignment horizontal="center" vertical="center"/>
    </xf>
    <xf numFmtId="1" fontId="1" fillId="0" borderId="2" xfId="0" applyNumberFormat="1" applyFont="1" applyBorder="1" applyAlignment="1">
      <alignment horizontal="center" vertical="center"/>
    </xf>
    <xf numFmtId="1" fontId="0" fillId="0" borderId="1" xfId="0" applyNumberFormat="1" applyFont="1" applyBorder="1" applyAlignment="1">
      <alignment horizontal="center" vertical="center"/>
    </xf>
    <xf numFmtId="2" fontId="0" fillId="8" borderId="2" xfId="0" applyNumberFormat="1" applyFont="1" applyFill="1" applyBorder="1" applyAlignment="1">
      <alignment horizontal="center"/>
    </xf>
    <xf numFmtId="2" fontId="0" fillId="8" borderId="11" xfId="0" applyNumberFormat="1" applyFont="1" applyFill="1" applyBorder="1" applyAlignment="1">
      <alignment horizontal="center"/>
    </xf>
    <xf numFmtId="2" fontId="0" fillId="0" borderId="2" xfId="0" applyNumberFormat="1" applyFont="1" applyBorder="1" applyAlignment="1">
      <alignment horizontal="center" vertical="center"/>
    </xf>
    <xf numFmtId="2" fontId="0" fillId="0" borderId="0" xfId="0" applyNumberFormat="1" applyFont="1" applyAlignment="1">
      <alignment horizontal="center" vertical="center"/>
    </xf>
    <xf numFmtId="0" fontId="18" fillId="0" borderId="1" xfId="0" applyFont="1" applyBorder="1" applyAlignment="1">
      <alignment horizontal="center"/>
    </xf>
    <xf numFmtId="1" fontId="0" fillId="0" borderId="0" xfId="0" applyNumberFormat="1" applyAlignment="1">
      <alignment horizontal="center"/>
    </xf>
    <xf numFmtId="1" fontId="0" fillId="0" borderId="0" xfId="0" applyNumberFormat="1" applyAlignment="1">
      <alignment horizontal="center" vertical="center" textRotation="90"/>
    </xf>
    <xf numFmtId="0" fontId="18" fillId="0" borderId="13" xfId="0" applyFont="1" applyBorder="1" applyAlignment="1">
      <alignment horizontal="center"/>
    </xf>
    <xf numFmtId="0" fontId="18" fillId="0" borderId="2" xfId="0" applyFont="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1" fontId="0" fillId="0" borderId="1" xfId="0" applyNumberFormat="1" applyBorder="1" applyAlignment="1">
      <alignment horizontal="center"/>
    </xf>
    <xf numFmtId="2" fontId="0" fillId="0" borderId="0" xfId="0" applyNumberFormat="1" applyAlignment="1">
      <alignment horizontal="center" textRotation="90"/>
    </xf>
    <xf numFmtId="0" fontId="0" fillId="0" borderId="0" xfId="0" applyAlignment="1">
      <alignment horizontal="center" textRotation="90"/>
    </xf>
    <xf numFmtId="2" fontId="0" fillId="0" borderId="0" xfId="0" applyNumberFormat="1" applyAlignment="1">
      <alignment horizontal="center" vertical="center" textRotation="90"/>
    </xf>
    <xf numFmtId="0" fontId="0" fillId="0" borderId="0" xfId="0" applyAlignment="1">
      <alignment horizontal="center" vertical="center" textRotation="90"/>
    </xf>
    <xf numFmtId="1" fontId="18" fillId="0" borderId="1" xfId="0" applyNumberFormat="1" applyFont="1" applyBorder="1" applyAlignment="1">
      <alignment horizontal="center"/>
    </xf>
    <xf numFmtId="0" fontId="0" fillId="0" borderId="12" xfId="0" applyBorder="1" applyAlignment="1">
      <alignment horizontal="center"/>
    </xf>
    <xf numFmtId="2" fontId="0" fillId="0" borderId="0" xfId="0" applyNumberFormat="1" applyAlignment="1">
      <alignment horizontal="center"/>
    </xf>
    <xf numFmtId="0" fontId="29" fillId="0" borderId="13" xfId="0" applyFont="1" applyBorder="1" applyAlignment="1">
      <alignment horizontal="center"/>
    </xf>
    <xf numFmtId="0" fontId="29" fillId="0" borderId="2" xfId="0" applyFont="1" applyBorder="1" applyAlignment="1">
      <alignment horizontal="center"/>
    </xf>
    <xf numFmtId="2" fontId="0" fillId="0" borderId="0" xfId="0" applyNumberFormat="1" applyAlignment="1">
      <alignment horizontal="center" vertical="top" textRotation="90"/>
    </xf>
    <xf numFmtId="0" fontId="0" fillId="0" borderId="0" xfId="0" applyAlignment="1">
      <alignment horizontal="center" vertical="top" textRotation="90"/>
    </xf>
    <xf numFmtId="2" fontId="0" fillId="0" borderId="0" xfId="0" applyNumberFormat="1" applyAlignment="1">
      <alignment horizontal="left" vertical="top" textRotation="90"/>
    </xf>
    <xf numFmtId="0" fontId="0" fillId="0" borderId="0" xfId="0" applyAlignment="1">
      <alignment horizontal="left" vertical="top" textRotation="90"/>
    </xf>
    <xf numFmtId="2" fontId="23" fillId="0" borderId="0" xfId="0" applyNumberFormat="1" applyFont="1" applyAlignment="1">
      <alignment horizontal="center" vertical="center" textRotation="90"/>
    </xf>
    <xf numFmtId="0" fontId="23" fillId="0" borderId="0" xfId="0" applyFont="1" applyAlignment="1">
      <alignment horizontal="center" vertical="center" textRotation="90"/>
    </xf>
    <xf numFmtId="2" fontId="23" fillId="0" borderId="0" xfId="0" applyNumberFormat="1" applyFont="1" applyAlignment="1">
      <alignment horizontal="center" vertical="top" textRotation="90"/>
    </xf>
    <xf numFmtId="0" fontId="0" fillId="0" borderId="0" xfId="0" applyNumberFormat="1" applyAlignment="1">
      <alignment horizontal="center"/>
    </xf>
    <xf numFmtId="0" fontId="2" fillId="0" borderId="0" xfId="0" applyFont="1" applyAlignment="1">
      <alignment horizontal="center"/>
    </xf>
    <xf numFmtId="0" fontId="5" fillId="8"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18" fillId="9" borderId="4" xfId="0" applyFont="1" applyFill="1" applyBorder="1" applyAlignment="1">
      <alignment horizontal="center" vertical="center"/>
    </xf>
    <xf numFmtId="0" fontId="1" fillId="9" borderId="4" xfId="0" applyFont="1" applyFill="1" applyBorder="1" applyAlignment="1">
      <alignment horizontal="center" vertical="center"/>
    </xf>
    <xf numFmtId="0" fontId="14" fillId="8" borderId="8" xfId="0" applyFont="1" applyFill="1" applyBorder="1" applyAlignment="1">
      <alignment horizontal="left" vertical="center"/>
    </xf>
    <xf numFmtId="0" fontId="14" fillId="8" borderId="6" xfId="0" applyFont="1" applyFill="1" applyBorder="1" applyAlignment="1">
      <alignment horizontal="left" vertical="center"/>
    </xf>
    <xf numFmtId="0" fontId="0" fillId="8" borderId="4" xfId="0" applyFont="1" applyFill="1" applyBorder="1" applyAlignment="1">
      <alignment horizontal="center" vertical="center"/>
    </xf>
    <xf numFmtId="0" fontId="0" fillId="8" borderId="4" xfId="0" applyFill="1" applyBorder="1" applyAlignment="1">
      <alignment horizontal="center" vertical="center" wrapText="1"/>
    </xf>
    <xf numFmtId="164" fontId="0" fillId="8" borderId="4" xfId="0" applyNumberFormat="1" applyFill="1" applyBorder="1" applyAlignment="1">
      <alignment horizontal="center" vertical="center" wrapText="1"/>
    </xf>
    <xf numFmtId="0" fontId="0" fillId="3" borderId="8" xfId="0" applyFill="1" applyBorder="1" applyAlignment="1">
      <alignment horizontal="center"/>
    </xf>
    <xf numFmtId="0" fontId="0" fillId="3" borderId="6" xfId="0" applyFill="1" applyBorder="1" applyAlignment="1">
      <alignment horizontal="center"/>
    </xf>
    <xf numFmtId="0" fontId="20" fillId="3" borderId="10" xfId="0" applyFont="1" applyFill="1" applyBorder="1" applyAlignment="1">
      <alignment horizontal="center" vertical="center"/>
    </xf>
    <xf numFmtId="0" fontId="20" fillId="3" borderId="9" xfId="0" applyFont="1" applyFill="1" applyBorder="1" applyAlignment="1">
      <alignment horizontal="center" vertical="center"/>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xf>
    <xf numFmtId="0" fontId="0" fillId="9" borderId="13" xfId="0" applyFill="1" applyBorder="1" applyAlignment="1">
      <alignment horizontal="left" vertical="center" wrapText="1"/>
    </xf>
    <xf numFmtId="0" fontId="0" fillId="9" borderId="2" xfId="0" applyFill="1" applyBorder="1" applyAlignment="1">
      <alignment horizontal="left" vertical="center" wrapText="1"/>
    </xf>
    <xf numFmtId="0" fontId="0" fillId="9" borderId="11" xfId="0" applyFill="1" applyBorder="1" applyAlignment="1">
      <alignment horizontal="left" vertical="center" wrapText="1"/>
    </xf>
    <xf numFmtId="0" fontId="0" fillId="9" borderId="3" xfId="0" applyFill="1" applyBorder="1" applyAlignment="1">
      <alignment horizontal="left" vertical="center" wrapText="1"/>
    </xf>
    <xf numFmtId="0" fontId="0" fillId="9" borderId="1" xfId="0" applyFill="1" applyBorder="1" applyAlignment="1">
      <alignment horizontal="left" vertical="center" wrapText="1"/>
    </xf>
    <xf numFmtId="0" fontId="0" fillId="9" borderId="12" xfId="0" applyFill="1" applyBorder="1" applyAlignment="1">
      <alignment horizontal="left" vertical="center" wrapText="1"/>
    </xf>
    <xf numFmtId="0" fontId="3" fillId="9" borderId="8" xfId="0" applyFont="1" applyFill="1" applyBorder="1" applyAlignment="1">
      <alignment horizontal="center" vertical="center"/>
    </xf>
    <xf numFmtId="0" fontId="3" fillId="9" borderId="6" xfId="0" applyFont="1" applyFill="1" applyBorder="1" applyAlignment="1">
      <alignment horizontal="center" vertical="center"/>
    </xf>
    <xf numFmtId="0" fontId="0" fillId="9" borderId="8" xfId="0" applyFill="1" applyBorder="1" applyAlignment="1">
      <alignment horizontal="center" vertical="center"/>
    </xf>
    <xf numFmtId="0" fontId="0" fillId="9" borderId="6" xfId="0" applyFill="1" applyBorder="1" applyAlignment="1">
      <alignment horizontal="center" vertical="center"/>
    </xf>
    <xf numFmtId="0" fontId="0" fillId="9" borderId="8" xfId="0" applyFill="1" applyBorder="1" applyAlignment="1">
      <alignment horizontal="center"/>
    </xf>
    <xf numFmtId="0" fontId="0" fillId="9" borderId="6" xfId="0" applyFill="1" applyBorder="1" applyAlignment="1">
      <alignment horizontal="center"/>
    </xf>
    <xf numFmtId="0" fontId="0" fillId="9" borderId="8" xfId="0" applyFill="1" applyBorder="1" applyAlignment="1" quotePrefix="1">
      <alignment horizontal="center"/>
    </xf>
    <xf numFmtId="0" fontId="0" fillId="9" borderId="5" xfId="0" applyFill="1" applyBorder="1" applyAlignment="1" quotePrefix="1">
      <alignment horizontal="center"/>
    </xf>
    <xf numFmtId="0" fontId="0" fillId="9" borderId="6" xfId="0" applyFill="1" applyBorder="1" applyAlignment="1" quotePrefix="1">
      <alignment horizontal="center"/>
    </xf>
    <xf numFmtId="164" fontId="0" fillId="9" borderId="8" xfId="0" applyNumberFormat="1" applyFill="1" applyBorder="1" applyAlignment="1">
      <alignment horizontal="center" vertical="center"/>
    </xf>
    <xf numFmtId="164" fontId="0" fillId="9" borderId="6" xfId="0" applyNumberFormat="1" applyFill="1" applyBorder="1" applyAlignment="1">
      <alignment horizontal="center" vertical="center"/>
    </xf>
    <xf numFmtId="1" fontId="0" fillId="9" borderId="8" xfId="0" applyNumberFormat="1" applyFill="1" applyBorder="1" applyAlignment="1">
      <alignment horizontal="center" vertical="center"/>
    </xf>
    <xf numFmtId="1" fontId="0" fillId="9" borderId="6" xfId="0" applyNumberFormat="1" applyFill="1" applyBorder="1" applyAlignment="1">
      <alignment horizontal="center" vertical="center"/>
    </xf>
    <xf numFmtId="0" fontId="1" fillId="4" borderId="1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164" fontId="0" fillId="9" borderId="8" xfId="0" applyNumberFormat="1" applyFill="1" applyBorder="1" applyAlignment="1">
      <alignment horizontal="center"/>
    </xf>
    <xf numFmtId="164" fontId="0" fillId="9" borderId="6" xfId="0" applyNumberFormat="1" applyFill="1" applyBorder="1" applyAlignment="1">
      <alignment horizontal="center"/>
    </xf>
    <xf numFmtId="0" fontId="14" fillId="4" borderId="8" xfId="0" applyFont="1" applyFill="1" applyBorder="1" applyAlignment="1">
      <alignment horizontal="center" vertical="center"/>
    </xf>
    <xf numFmtId="0" fontId="14" fillId="4" borderId="6" xfId="0" applyFont="1" applyFill="1" applyBorder="1" applyAlignment="1">
      <alignment horizontal="center" vertical="center"/>
    </xf>
    <xf numFmtId="0" fontId="1" fillId="10" borderId="4" xfId="0" applyFont="1" applyFill="1" applyBorder="1" applyAlignment="1">
      <alignment horizontal="center" vertical="center"/>
    </xf>
    <xf numFmtId="0" fontId="2" fillId="4" borderId="4" xfId="0" applyFont="1" applyFill="1" applyBorder="1" applyAlignment="1">
      <alignment horizontal="center"/>
    </xf>
    <xf numFmtId="0" fontId="0" fillId="4" borderId="4" xfId="0" applyFill="1" applyBorder="1" applyAlignment="1">
      <alignment horizontal="center"/>
    </xf>
    <xf numFmtId="0" fontId="14" fillId="10" borderId="8" xfId="0" applyFont="1" applyFill="1" applyBorder="1" applyAlignment="1">
      <alignment horizontal="left" vertical="center"/>
    </xf>
    <xf numFmtId="0" fontId="14" fillId="10" borderId="6" xfId="0" applyFont="1" applyFill="1" applyBorder="1" applyAlignment="1">
      <alignment horizontal="left" vertical="center"/>
    </xf>
    <xf numFmtId="0" fontId="18" fillId="5" borderId="13"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2" xfId="0" applyFont="1" applyFill="1" applyBorder="1" applyAlignment="1">
      <alignment horizontal="center" vertical="center"/>
    </xf>
    <xf numFmtId="0" fontId="0" fillId="10" borderId="4" xfId="0" applyFont="1" applyFill="1" applyBorder="1" applyAlignment="1">
      <alignment horizontal="center" vertical="center"/>
    </xf>
    <xf numFmtId="0" fontId="0" fillId="10" borderId="4" xfId="0" applyFill="1" applyBorder="1" applyAlignment="1">
      <alignment horizontal="center" vertical="top" wrapText="1"/>
    </xf>
    <xf numFmtId="0" fontId="14" fillId="5" borderId="8" xfId="0" applyFont="1" applyFill="1" applyBorder="1" applyAlignment="1">
      <alignment horizontal="center" vertical="center"/>
    </xf>
    <xf numFmtId="0" fontId="14" fillId="5" borderId="6" xfId="0" applyFont="1" applyFill="1" applyBorder="1" applyAlignment="1">
      <alignment horizontal="center" vertical="center"/>
    </xf>
    <xf numFmtId="0" fontId="2" fillId="5" borderId="4" xfId="0" applyFont="1" applyFill="1" applyBorder="1" applyAlignment="1">
      <alignment horizontal="center"/>
    </xf>
    <xf numFmtId="0" fontId="0" fillId="5" borderId="4" xfId="0" applyFill="1" applyBorder="1" applyAlignment="1">
      <alignment horizontal="center"/>
    </xf>
    <xf numFmtId="0" fontId="18" fillId="7" borderId="1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12" xfId="0" applyFont="1" applyFill="1" applyBorder="1" applyAlignment="1">
      <alignment horizontal="center" vertical="center"/>
    </xf>
    <xf numFmtId="0" fontId="0" fillId="7" borderId="10" xfId="0" applyFill="1" applyBorder="1" applyAlignment="1">
      <alignment horizontal="center" vertical="center" wrapText="1"/>
    </xf>
    <xf numFmtId="0" fontId="0" fillId="7" borderId="9" xfId="0" applyFill="1" applyBorder="1" applyAlignment="1">
      <alignment horizontal="center"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4" xfId="0" applyFill="1" applyBorder="1" applyAlignment="1">
      <alignment horizontal="center" vertical="center"/>
    </xf>
    <xf numFmtId="0" fontId="0" fillId="3" borderId="13" xfId="0" applyFill="1" applyBorder="1" applyAlignment="1">
      <alignment horizontal="center"/>
    </xf>
    <xf numFmtId="0" fontId="0" fillId="3" borderId="11" xfId="0" applyFill="1" applyBorder="1" applyAlignment="1">
      <alignment horizontal="center"/>
    </xf>
    <xf numFmtId="0" fontId="6" fillId="3" borderId="13" xfId="0" applyFont="1" applyFill="1" applyBorder="1" applyAlignment="1">
      <alignment horizontal="center" vertical="center"/>
    </xf>
    <xf numFmtId="0" fontId="6" fillId="3" borderId="11" xfId="0" applyFont="1" applyFill="1" applyBorder="1" applyAlignment="1">
      <alignment horizontal="center" vertical="center"/>
    </xf>
    <xf numFmtId="0" fontId="20" fillId="3" borderId="3" xfId="0" applyFont="1" applyFill="1" applyBorder="1" applyAlignment="1">
      <alignment horizontal="center" vertical="top"/>
    </xf>
    <xf numFmtId="0" fontId="20" fillId="3" borderId="12" xfId="0" applyFont="1" applyFill="1" applyBorder="1" applyAlignment="1">
      <alignment horizontal="center" vertical="top"/>
    </xf>
    <xf numFmtId="0" fontId="0" fillId="11" borderId="13" xfId="0" applyFill="1" applyBorder="1" applyAlignment="1">
      <alignment horizontal="left" vertical="center" wrapText="1"/>
    </xf>
    <xf numFmtId="0" fontId="0" fillId="11" borderId="14" xfId="0" applyFill="1" applyBorder="1" applyAlignment="1">
      <alignment horizontal="left" vertical="center" wrapText="1"/>
    </xf>
    <xf numFmtId="0" fontId="0" fillId="11" borderId="3" xfId="0" applyFill="1" applyBorder="1" applyAlignment="1">
      <alignment horizontal="left"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9" xfId="0" applyFill="1" applyBorder="1" applyAlignment="1">
      <alignment horizontal="center" vertical="center" wrapText="1"/>
    </xf>
    <xf numFmtId="0" fontId="1" fillId="11" borderId="8"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6" xfId="0" applyFont="1" applyFill="1" applyBorder="1" applyAlignment="1">
      <alignment horizontal="center" vertical="center"/>
    </xf>
    <xf numFmtId="0" fontId="18" fillId="6" borderId="8"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0" fillId="0" borderId="14"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5"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17</xdr:row>
      <xdr:rowOff>38100</xdr:rowOff>
    </xdr:from>
    <xdr:to>
      <xdr:col>14</xdr:col>
      <xdr:colOff>9525</xdr:colOff>
      <xdr:row>20</xdr:row>
      <xdr:rowOff>47625</xdr:rowOff>
    </xdr:to>
    <xdr:sp>
      <xdr:nvSpPr>
        <xdr:cNvPr id="1" name="Line 207"/>
        <xdr:cNvSpPr>
          <a:spLocks/>
        </xdr:cNvSpPr>
      </xdr:nvSpPr>
      <xdr:spPr>
        <a:xfrm>
          <a:off x="6562725" y="3276600"/>
          <a:ext cx="0" cy="581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12</xdr:row>
      <xdr:rowOff>85725</xdr:rowOff>
    </xdr:from>
    <xdr:to>
      <xdr:col>20</xdr:col>
      <xdr:colOff>0</xdr:colOff>
      <xdr:row>12</xdr:row>
      <xdr:rowOff>85725</xdr:rowOff>
    </xdr:to>
    <xdr:sp>
      <xdr:nvSpPr>
        <xdr:cNvPr id="2" name="Line 212"/>
        <xdr:cNvSpPr>
          <a:spLocks/>
        </xdr:cNvSpPr>
      </xdr:nvSpPr>
      <xdr:spPr>
        <a:xfrm flipH="1">
          <a:off x="7639050" y="2371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19</xdr:row>
      <xdr:rowOff>9525</xdr:rowOff>
    </xdr:from>
    <xdr:to>
      <xdr:col>28</xdr:col>
      <xdr:colOff>9525</xdr:colOff>
      <xdr:row>20</xdr:row>
      <xdr:rowOff>0</xdr:rowOff>
    </xdr:to>
    <xdr:sp>
      <xdr:nvSpPr>
        <xdr:cNvPr id="3" name="Line 214"/>
        <xdr:cNvSpPr>
          <a:spLocks/>
        </xdr:cNvSpPr>
      </xdr:nvSpPr>
      <xdr:spPr>
        <a:xfrm>
          <a:off x="9096375" y="36290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17</xdr:row>
      <xdr:rowOff>0</xdr:rowOff>
    </xdr:from>
    <xdr:to>
      <xdr:col>28</xdr:col>
      <xdr:colOff>9525</xdr:colOff>
      <xdr:row>18</xdr:row>
      <xdr:rowOff>9525</xdr:rowOff>
    </xdr:to>
    <xdr:sp>
      <xdr:nvSpPr>
        <xdr:cNvPr id="4" name="Line 215"/>
        <xdr:cNvSpPr>
          <a:spLocks/>
        </xdr:cNvSpPr>
      </xdr:nvSpPr>
      <xdr:spPr>
        <a:xfrm flipV="1">
          <a:off x="9096375" y="32385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2</xdr:row>
      <xdr:rowOff>0</xdr:rowOff>
    </xdr:from>
    <xdr:to>
      <xdr:col>10</xdr:col>
      <xdr:colOff>142875</xdr:colOff>
      <xdr:row>5</xdr:row>
      <xdr:rowOff>0</xdr:rowOff>
    </xdr:to>
    <xdr:sp>
      <xdr:nvSpPr>
        <xdr:cNvPr id="5" name="Line 216"/>
        <xdr:cNvSpPr>
          <a:spLocks/>
        </xdr:cNvSpPr>
      </xdr:nvSpPr>
      <xdr:spPr>
        <a:xfrm flipV="1">
          <a:off x="5972175" y="381000"/>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161925</xdr:colOff>
      <xdr:row>2</xdr:row>
      <xdr:rowOff>0</xdr:rowOff>
    </xdr:from>
    <xdr:to>
      <xdr:col>14</xdr:col>
      <xdr:colOff>161925</xdr:colOff>
      <xdr:row>6</xdr:row>
      <xdr:rowOff>171450</xdr:rowOff>
    </xdr:to>
    <xdr:sp>
      <xdr:nvSpPr>
        <xdr:cNvPr id="6" name="Line 217"/>
        <xdr:cNvSpPr>
          <a:spLocks/>
        </xdr:cNvSpPr>
      </xdr:nvSpPr>
      <xdr:spPr>
        <a:xfrm flipV="1">
          <a:off x="6715125" y="38100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57150</xdr:colOff>
      <xdr:row>17</xdr:row>
      <xdr:rowOff>0</xdr:rowOff>
    </xdr:from>
    <xdr:to>
      <xdr:col>28</xdr:col>
      <xdr:colOff>85725</xdr:colOff>
      <xdr:row>17</xdr:row>
      <xdr:rowOff>0</xdr:rowOff>
    </xdr:to>
    <xdr:sp>
      <xdr:nvSpPr>
        <xdr:cNvPr id="7" name="Line 218"/>
        <xdr:cNvSpPr>
          <a:spLocks/>
        </xdr:cNvSpPr>
      </xdr:nvSpPr>
      <xdr:spPr>
        <a:xfrm>
          <a:off x="8963025" y="32385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2</xdr:row>
      <xdr:rowOff>9525</xdr:rowOff>
    </xdr:from>
    <xdr:to>
      <xdr:col>26</xdr:col>
      <xdr:colOff>0</xdr:colOff>
      <xdr:row>19</xdr:row>
      <xdr:rowOff>180975</xdr:rowOff>
    </xdr:to>
    <xdr:grpSp>
      <xdr:nvGrpSpPr>
        <xdr:cNvPr id="8" name="Group 46"/>
        <xdr:cNvGrpSpPr>
          <a:grpSpLocks/>
        </xdr:cNvGrpSpPr>
      </xdr:nvGrpSpPr>
      <xdr:grpSpPr>
        <a:xfrm>
          <a:off x="6543675" y="390525"/>
          <a:ext cx="2181225" cy="3409950"/>
          <a:chOff x="1173" y="11"/>
          <a:chExt cx="229" cy="358"/>
        </a:xfrm>
        <a:solidFill>
          <a:srgbClr val="FFFFFF"/>
        </a:solidFill>
      </xdr:grpSpPr>
      <xdr:sp>
        <xdr:nvSpPr>
          <xdr:cNvPr id="9" name="Line 197"/>
          <xdr:cNvSpPr>
            <a:spLocks/>
          </xdr:cNvSpPr>
        </xdr:nvSpPr>
        <xdr:spPr>
          <a:xfrm>
            <a:off x="1174" y="272"/>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98"/>
          <xdr:cNvSpPr>
            <a:spLocks/>
          </xdr:cNvSpPr>
        </xdr:nvSpPr>
        <xdr:spPr>
          <a:xfrm>
            <a:off x="1173" y="309"/>
            <a:ext cx="9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00"/>
          <xdr:cNvSpPr>
            <a:spLocks/>
          </xdr:cNvSpPr>
        </xdr:nvSpPr>
        <xdr:spPr>
          <a:xfrm flipV="1">
            <a:off x="1173" y="241"/>
            <a:ext cx="92"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1"/>
          <xdr:cNvSpPr>
            <a:spLocks/>
          </xdr:cNvSpPr>
        </xdr:nvSpPr>
        <xdr:spPr>
          <a:xfrm>
            <a:off x="1324" y="245"/>
            <a:ext cx="78"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02"/>
          <xdr:cNvSpPr>
            <a:spLocks/>
          </xdr:cNvSpPr>
        </xdr:nvSpPr>
        <xdr:spPr>
          <a:xfrm flipV="1">
            <a:off x="1401" y="268"/>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03"/>
          <xdr:cNvSpPr>
            <a:spLocks/>
          </xdr:cNvSpPr>
        </xdr:nvSpPr>
        <xdr:spPr>
          <a:xfrm flipV="1">
            <a:off x="1265" y="11"/>
            <a:ext cx="9"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204"/>
          <xdr:cNvSpPr>
            <a:spLocks/>
          </xdr:cNvSpPr>
        </xdr:nvSpPr>
        <xdr:spPr>
          <a:xfrm flipH="1" flipV="1">
            <a:off x="1316" y="11"/>
            <a:ext cx="7" cy="2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205"/>
          <xdr:cNvSpPr>
            <a:spLocks/>
          </xdr:cNvSpPr>
        </xdr:nvSpPr>
        <xdr:spPr>
          <a:xfrm>
            <a:off x="1274" y="11"/>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394"/>
          <xdr:cNvSpPr>
            <a:spLocks/>
          </xdr:cNvSpPr>
        </xdr:nvSpPr>
        <xdr:spPr>
          <a:xfrm>
            <a:off x="1322" y="309"/>
            <a:ext cx="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395"/>
          <xdr:cNvSpPr>
            <a:spLocks/>
          </xdr:cNvSpPr>
        </xdr:nvSpPr>
        <xdr:spPr>
          <a:xfrm>
            <a:off x="1324" y="310"/>
            <a:ext cx="0"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96"/>
          <xdr:cNvSpPr>
            <a:spLocks/>
          </xdr:cNvSpPr>
        </xdr:nvSpPr>
        <xdr:spPr>
          <a:xfrm>
            <a:off x="1267" y="309"/>
            <a:ext cx="0"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97"/>
          <xdr:cNvSpPr>
            <a:spLocks/>
          </xdr:cNvSpPr>
        </xdr:nvSpPr>
        <xdr:spPr>
          <a:xfrm>
            <a:off x="1266" y="369"/>
            <a:ext cx="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14</xdr:row>
      <xdr:rowOff>57150</xdr:rowOff>
    </xdr:from>
    <xdr:to>
      <xdr:col>16</xdr:col>
      <xdr:colOff>0</xdr:colOff>
      <xdr:row>14</xdr:row>
      <xdr:rowOff>57150</xdr:rowOff>
    </xdr:to>
    <xdr:sp>
      <xdr:nvSpPr>
        <xdr:cNvPr id="21" name="Line 402"/>
        <xdr:cNvSpPr>
          <a:spLocks/>
        </xdr:cNvSpPr>
      </xdr:nvSpPr>
      <xdr:spPr>
        <a:xfrm>
          <a:off x="6915150"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15</xdr:row>
      <xdr:rowOff>95250</xdr:rowOff>
    </xdr:from>
    <xdr:to>
      <xdr:col>16</xdr:col>
      <xdr:colOff>0</xdr:colOff>
      <xdr:row>15</xdr:row>
      <xdr:rowOff>95250</xdr:rowOff>
    </xdr:to>
    <xdr:sp>
      <xdr:nvSpPr>
        <xdr:cNvPr id="22" name="Line 465"/>
        <xdr:cNvSpPr>
          <a:spLocks/>
        </xdr:cNvSpPr>
      </xdr:nvSpPr>
      <xdr:spPr>
        <a:xfrm flipH="1">
          <a:off x="6915150" y="2952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19</xdr:row>
      <xdr:rowOff>180975</xdr:rowOff>
    </xdr:from>
    <xdr:to>
      <xdr:col>28</xdr:col>
      <xdr:colOff>76200</xdr:colOff>
      <xdr:row>19</xdr:row>
      <xdr:rowOff>180975</xdr:rowOff>
    </xdr:to>
    <xdr:sp>
      <xdr:nvSpPr>
        <xdr:cNvPr id="23" name="Line 467"/>
        <xdr:cNvSpPr>
          <a:spLocks/>
        </xdr:cNvSpPr>
      </xdr:nvSpPr>
      <xdr:spPr>
        <a:xfrm>
          <a:off x="9020175" y="38004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15</xdr:row>
      <xdr:rowOff>0</xdr:rowOff>
    </xdr:from>
    <xdr:to>
      <xdr:col>28</xdr:col>
      <xdr:colOff>76200</xdr:colOff>
      <xdr:row>15</xdr:row>
      <xdr:rowOff>0</xdr:rowOff>
    </xdr:to>
    <xdr:sp>
      <xdr:nvSpPr>
        <xdr:cNvPr id="24" name="Line 468"/>
        <xdr:cNvSpPr>
          <a:spLocks/>
        </xdr:cNvSpPr>
      </xdr:nvSpPr>
      <xdr:spPr>
        <a:xfrm>
          <a:off x="9020175" y="28575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15</xdr:row>
      <xdr:rowOff>0</xdr:rowOff>
    </xdr:from>
    <xdr:to>
      <xdr:col>13</xdr:col>
      <xdr:colOff>104775</xdr:colOff>
      <xdr:row>15</xdr:row>
      <xdr:rowOff>0</xdr:rowOff>
    </xdr:to>
    <xdr:sp>
      <xdr:nvSpPr>
        <xdr:cNvPr id="25" name="Line 472"/>
        <xdr:cNvSpPr>
          <a:spLocks/>
        </xdr:cNvSpPr>
      </xdr:nvSpPr>
      <xdr:spPr>
        <a:xfrm>
          <a:off x="6067425" y="2857500"/>
          <a:ext cx="409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22</xdr:row>
      <xdr:rowOff>9525</xdr:rowOff>
    </xdr:from>
    <xdr:to>
      <xdr:col>10</xdr:col>
      <xdr:colOff>171450</xdr:colOff>
      <xdr:row>33</xdr:row>
      <xdr:rowOff>171450</xdr:rowOff>
    </xdr:to>
    <xdr:sp>
      <xdr:nvSpPr>
        <xdr:cNvPr id="26" name="Line 474"/>
        <xdr:cNvSpPr>
          <a:spLocks/>
        </xdr:cNvSpPr>
      </xdr:nvSpPr>
      <xdr:spPr>
        <a:xfrm>
          <a:off x="6000750" y="4200525"/>
          <a:ext cx="0" cy="2257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33</xdr:row>
      <xdr:rowOff>171450</xdr:rowOff>
    </xdr:from>
    <xdr:to>
      <xdr:col>24</xdr:col>
      <xdr:colOff>9525</xdr:colOff>
      <xdr:row>33</xdr:row>
      <xdr:rowOff>171450</xdr:rowOff>
    </xdr:to>
    <xdr:sp>
      <xdr:nvSpPr>
        <xdr:cNvPr id="27" name="Line 475"/>
        <xdr:cNvSpPr>
          <a:spLocks/>
        </xdr:cNvSpPr>
      </xdr:nvSpPr>
      <xdr:spPr>
        <a:xfrm flipV="1">
          <a:off x="6934200" y="645795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21</xdr:row>
      <xdr:rowOff>171450</xdr:rowOff>
    </xdr:from>
    <xdr:to>
      <xdr:col>24</xdr:col>
      <xdr:colOff>0</xdr:colOff>
      <xdr:row>21</xdr:row>
      <xdr:rowOff>171450</xdr:rowOff>
    </xdr:to>
    <xdr:sp>
      <xdr:nvSpPr>
        <xdr:cNvPr id="28" name="Line 476"/>
        <xdr:cNvSpPr>
          <a:spLocks/>
        </xdr:cNvSpPr>
      </xdr:nvSpPr>
      <xdr:spPr>
        <a:xfrm>
          <a:off x="6924675" y="417195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22</xdr:row>
      <xdr:rowOff>0</xdr:rowOff>
    </xdr:from>
    <xdr:to>
      <xdr:col>16</xdr:col>
      <xdr:colOff>9525</xdr:colOff>
      <xdr:row>34</xdr:row>
      <xdr:rowOff>0</xdr:rowOff>
    </xdr:to>
    <xdr:sp>
      <xdr:nvSpPr>
        <xdr:cNvPr id="29" name="Line 477"/>
        <xdr:cNvSpPr>
          <a:spLocks/>
        </xdr:cNvSpPr>
      </xdr:nvSpPr>
      <xdr:spPr>
        <a:xfrm flipV="1">
          <a:off x="6924675" y="4191000"/>
          <a:ext cx="0" cy="228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22</xdr:row>
      <xdr:rowOff>0</xdr:rowOff>
    </xdr:from>
    <xdr:to>
      <xdr:col>20</xdr:col>
      <xdr:colOff>9525</xdr:colOff>
      <xdr:row>33</xdr:row>
      <xdr:rowOff>152400</xdr:rowOff>
    </xdr:to>
    <xdr:sp>
      <xdr:nvSpPr>
        <xdr:cNvPr id="30" name="Line 480"/>
        <xdr:cNvSpPr>
          <a:spLocks/>
        </xdr:cNvSpPr>
      </xdr:nvSpPr>
      <xdr:spPr>
        <a:xfrm flipV="1">
          <a:off x="7648575" y="4191000"/>
          <a:ext cx="0" cy="224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171450</xdr:colOff>
      <xdr:row>21</xdr:row>
      <xdr:rowOff>171450</xdr:rowOff>
    </xdr:from>
    <xdr:to>
      <xdr:col>23</xdr:col>
      <xdr:colOff>171450</xdr:colOff>
      <xdr:row>33</xdr:row>
      <xdr:rowOff>171450</xdr:rowOff>
    </xdr:to>
    <xdr:sp>
      <xdr:nvSpPr>
        <xdr:cNvPr id="31" name="Line 481"/>
        <xdr:cNvSpPr>
          <a:spLocks/>
        </xdr:cNvSpPr>
      </xdr:nvSpPr>
      <xdr:spPr>
        <a:xfrm flipV="1">
          <a:off x="8353425" y="4171950"/>
          <a:ext cx="0" cy="228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28</xdr:row>
      <xdr:rowOff>19050</xdr:rowOff>
    </xdr:from>
    <xdr:to>
      <xdr:col>18</xdr:col>
      <xdr:colOff>0</xdr:colOff>
      <xdr:row>33</xdr:row>
      <xdr:rowOff>161925</xdr:rowOff>
    </xdr:to>
    <xdr:sp>
      <xdr:nvSpPr>
        <xdr:cNvPr id="32" name="Line 482"/>
        <xdr:cNvSpPr>
          <a:spLocks/>
        </xdr:cNvSpPr>
      </xdr:nvSpPr>
      <xdr:spPr>
        <a:xfrm>
          <a:off x="7277100" y="53530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19050</xdr:rowOff>
    </xdr:from>
    <xdr:to>
      <xdr:col>22</xdr:col>
      <xdr:colOff>0</xdr:colOff>
      <xdr:row>33</xdr:row>
      <xdr:rowOff>161925</xdr:rowOff>
    </xdr:to>
    <xdr:sp>
      <xdr:nvSpPr>
        <xdr:cNvPr id="33" name="Line 483"/>
        <xdr:cNvSpPr>
          <a:spLocks/>
        </xdr:cNvSpPr>
      </xdr:nvSpPr>
      <xdr:spPr>
        <a:xfrm>
          <a:off x="8001000" y="53530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30</xdr:row>
      <xdr:rowOff>9525</xdr:rowOff>
    </xdr:from>
    <xdr:to>
      <xdr:col>17</xdr:col>
      <xdr:colOff>9525</xdr:colOff>
      <xdr:row>34</xdr:row>
      <xdr:rowOff>0</xdr:rowOff>
    </xdr:to>
    <xdr:sp>
      <xdr:nvSpPr>
        <xdr:cNvPr id="34" name="Line 486"/>
        <xdr:cNvSpPr>
          <a:spLocks/>
        </xdr:cNvSpPr>
      </xdr:nvSpPr>
      <xdr:spPr>
        <a:xfrm flipV="1">
          <a:off x="7105650" y="572452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180975</xdr:rowOff>
    </xdr:from>
    <xdr:to>
      <xdr:col>19</xdr:col>
      <xdr:colOff>0</xdr:colOff>
      <xdr:row>33</xdr:row>
      <xdr:rowOff>152400</xdr:rowOff>
    </xdr:to>
    <xdr:sp>
      <xdr:nvSpPr>
        <xdr:cNvPr id="35" name="Line 488"/>
        <xdr:cNvSpPr>
          <a:spLocks/>
        </xdr:cNvSpPr>
      </xdr:nvSpPr>
      <xdr:spPr>
        <a:xfrm flipH="1" flipV="1">
          <a:off x="7458075" y="57054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30</xdr:row>
      <xdr:rowOff>19050</xdr:rowOff>
    </xdr:from>
    <xdr:to>
      <xdr:col>23</xdr:col>
      <xdr:colOff>9525</xdr:colOff>
      <xdr:row>33</xdr:row>
      <xdr:rowOff>161925</xdr:rowOff>
    </xdr:to>
    <xdr:sp>
      <xdr:nvSpPr>
        <xdr:cNvPr id="36" name="Line 489"/>
        <xdr:cNvSpPr>
          <a:spLocks/>
        </xdr:cNvSpPr>
      </xdr:nvSpPr>
      <xdr:spPr>
        <a:xfrm flipV="1">
          <a:off x="8191500" y="5734050"/>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30</xdr:row>
      <xdr:rowOff>0</xdr:rowOff>
    </xdr:from>
    <xdr:to>
      <xdr:col>21</xdr:col>
      <xdr:colOff>9525</xdr:colOff>
      <xdr:row>33</xdr:row>
      <xdr:rowOff>152400</xdr:rowOff>
    </xdr:to>
    <xdr:sp>
      <xdr:nvSpPr>
        <xdr:cNvPr id="37" name="Line 490"/>
        <xdr:cNvSpPr>
          <a:spLocks/>
        </xdr:cNvSpPr>
      </xdr:nvSpPr>
      <xdr:spPr>
        <a:xfrm flipV="1">
          <a:off x="7829550" y="5715000"/>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14</xdr:row>
      <xdr:rowOff>0</xdr:rowOff>
    </xdr:from>
    <xdr:to>
      <xdr:col>16</xdr:col>
      <xdr:colOff>0</xdr:colOff>
      <xdr:row>14</xdr:row>
      <xdr:rowOff>9525</xdr:rowOff>
    </xdr:to>
    <xdr:sp>
      <xdr:nvSpPr>
        <xdr:cNvPr id="38" name="Line 497"/>
        <xdr:cNvSpPr>
          <a:spLocks/>
        </xdr:cNvSpPr>
      </xdr:nvSpPr>
      <xdr:spPr>
        <a:xfrm flipV="1">
          <a:off x="5915025" y="2667000"/>
          <a:ext cx="10001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8</xdr:row>
      <xdr:rowOff>9525</xdr:rowOff>
    </xdr:from>
    <xdr:to>
      <xdr:col>14</xdr:col>
      <xdr:colOff>152400</xdr:colOff>
      <xdr:row>14</xdr:row>
      <xdr:rowOff>0</xdr:rowOff>
    </xdr:to>
    <xdr:sp>
      <xdr:nvSpPr>
        <xdr:cNvPr id="39" name="Line 498"/>
        <xdr:cNvSpPr>
          <a:spLocks/>
        </xdr:cNvSpPr>
      </xdr:nvSpPr>
      <xdr:spPr>
        <a:xfrm>
          <a:off x="6705600" y="15335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18</xdr:col>
      <xdr:colOff>76200</xdr:colOff>
      <xdr:row>2</xdr:row>
      <xdr:rowOff>0</xdr:rowOff>
    </xdr:to>
    <xdr:sp>
      <xdr:nvSpPr>
        <xdr:cNvPr id="40" name="Line 499"/>
        <xdr:cNvSpPr>
          <a:spLocks/>
        </xdr:cNvSpPr>
      </xdr:nvSpPr>
      <xdr:spPr>
        <a:xfrm>
          <a:off x="5648325" y="38100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5</xdr:row>
      <xdr:rowOff>180975</xdr:rowOff>
    </xdr:from>
    <xdr:to>
      <xdr:col>10</xdr:col>
      <xdr:colOff>142875</xdr:colOff>
      <xdr:row>16</xdr:row>
      <xdr:rowOff>180975</xdr:rowOff>
    </xdr:to>
    <xdr:sp>
      <xdr:nvSpPr>
        <xdr:cNvPr id="41" name="Line 500"/>
        <xdr:cNvSpPr>
          <a:spLocks/>
        </xdr:cNvSpPr>
      </xdr:nvSpPr>
      <xdr:spPr>
        <a:xfrm>
          <a:off x="5972175" y="1133475"/>
          <a:ext cx="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161925</xdr:colOff>
      <xdr:row>12</xdr:row>
      <xdr:rowOff>0</xdr:rowOff>
    </xdr:from>
    <xdr:to>
      <xdr:col>14</xdr:col>
      <xdr:colOff>57150</xdr:colOff>
      <xdr:row>12</xdr:row>
      <xdr:rowOff>76200</xdr:rowOff>
    </xdr:to>
    <xdr:sp>
      <xdr:nvSpPr>
        <xdr:cNvPr id="42" name="Line 535"/>
        <xdr:cNvSpPr>
          <a:spLocks/>
        </xdr:cNvSpPr>
      </xdr:nvSpPr>
      <xdr:spPr>
        <a:xfrm>
          <a:off x="6534150" y="2286000"/>
          <a:ext cx="7620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12</xdr:row>
      <xdr:rowOff>0</xdr:rowOff>
    </xdr:from>
    <xdr:to>
      <xdr:col>14</xdr:col>
      <xdr:colOff>114300</xdr:colOff>
      <xdr:row>12</xdr:row>
      <xdr:rowOff>66675</xdr:rowOff>
    </xdr:to>
    <xdr:sp>
      <xdr:nvSpPr>
        <xdr:cNvPr id="43" name="Line 538"/>
        <xdr:cNvSpPr>
          <a:spLocks/>
        </xdr:cNvSpPr>
      </xdr:nvSpPr>
      <xdr:spPr>
        <a:xfrm flipH="1">
          <a:off x="6629400" y="22860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47625</xdr:colOff>
      <xdr:row>5</xdr:row>
      <xdr:rowOff>76200</xdr:rowOff>
    </xdr:from>
    <xdr:to>
      <xdr:col>65</xdr:col>
      <xdr:colOff>85725</xdr:colOff>
      <xdr:row>5</xdr:row>
      <xdr:rowOff>123825</xdr:rowOff>
    </xdr:to>
    <xdr:sp>
      <xdr:nvSpPr>
        <xdr:cNvPr id="44" name="Arc 572"/>
        <xdr:cNvSpPr>
          <a:spLocks/>
        </xdr:cNvSpPr>
      </xdr:nvSpPr>
      <xdr:spPr>
        <a:xfrm>
          <a:off x="16116300" y="10287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17</xdr:row>
      <xdr:rowOff>0</xdr:rowOff>
    </xdr:from>
    <xdr:to>
      <xdr:col>13</xdr:col>
      <xdr:colOff>85725</xdr:colOff>
      <xdr:row>17</xdr:row>
      <xdr:rowOff>0</xdr:rowOff>
    </xdr:to>
    <xdr:sp>
      <xdr:nvSpPr>
        <xdr:cNvPr id="45" name="Line 580"/>
        <xdr:cNvSpPr>
          <a:spLocks/>
        </xdr:cNvSpPr>
      </xdr:nvSpPr>
      <xdr:spPr>
        <a:xfrm flipH="1">
          <a:off x="5895975" y="3238500"/>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171450</xdr:colOff>
      <xdr:row>17</xdr:row>
      <xdr:rowOff>66675</xdr:rowOff>
    </xdr:from>
    <xdr:to>
      <xdr:col>25</xdr:col>
      <xdr:colOff>171450</xdr:colOff>
      <xdr:row>20</xdr:row>
      <xdr:rowOff>28575</xdr:rowOff>
    </xdr:to>
    <xdr:sp>
      <xdr:nvSpPr>
        <xdr:cNvPr id="46" name="Line 585"/>
        <xdr:cNvSpPr>
          <a:spLocks/>
        </xdr:cNvSpPr>
      </xdr:nvSpPr>
      <xdr:spPr>
        <a:xfrm>
          <a:off x="8715375" y="3305175"/>
          <a:ext cx="0"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20</xdr:row>
      <xdr:rowOff>114300</xdr:rowOff>
    </xdr:from>
    <xdr:to>
      <xdr:col>21</xdr:col>
      <xdr:colOff>171450</xdr:colOff>
      <xdr:row>20</xdr:row>
      <xdr:rowOff>114300</xdr:rowOff>
    </xdr:to>
    <xdr:sp>
      <xdr:nvSpPr>
        <xdr:cNvPr id="47" name="Line 595"/>
        <xdr:cNvSpPr>
          <a:spLocks/>
        </xdr:cNvSpPr>
      </xdr:nvSpPr>
      <xdr:spPr>
        <a:xfrm>
          <a:off x="7886700" y="3924300"/>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xdr:row>
      <xdr:rowOff>38100</xdr:rowOff>
    </xdr:from>
    <xdr:to>
      <xdr:col>19</xdr:col>
      <xdr:colOff>28575</xdr:colOff>
      <xdr:row>1</xdr:row>
      <xdr:rowOff>161925</xdr:rowOff>
    </xdr:to>
    <xdr:sp>
      <xdr:nvSpPr>
        <xdr:cNvPr id="48" name="Line 597"/>
        <xdr:cNvSpPr>
          <a:spLocks/>
        </xdr:cNvSpPr>
      </xdr:nvSpPr>
      <xdr:spPr>
        <a:xfrm>
          <a:off x="7486650" y="22860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1</xdr:row>
      <xdr:rowOff>28575</xdr:rowOff>
    </xdr:from>
    <xdr:to>
      <xdr:col>21</xdr:col>
      <xdr:colOff>85725</xdr:colOff>
      <xdr:row>1</xdr:row>
      <xdr:rowOff>152400</xdr:rowOff>
    </xdr:to>
    <xdr:sp>
      <xdr:nvSpPr>
        <xdr:cNvPr id="49" name="Line 598"/>
        <xdr:cNvSpPr>
          <a:spLocks/>
        </xdr:cNvSpPr>
      </xdr:nvSpPr>
      <xdr:spPr>
        <a:xfrm>
          <a:off x="7905750" y="2190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xdr:row>
      <xdr:rowOff>104775</xdr:rowOff>
    </xdr:from>
    <xdr:to>
      <xdr:col>19</xdr:col>
      <xdr:colOff>19050</xdr:colOff>
      <xdr:row>1</xdr:row>
      <xdr:rowOff>104775</xdr:rowOff>
    </xdr:to>
    <xdr:sp>
      <xdr:nvSpPr>
        <xdr:cNvPr id="50" name="Line 599"/>
        <xdr:cNvSpPr>
          <a:spLocks/>
        </xdr:cNvSpPr>
      </xdr:nvSpPr>
      <xdr:spPr>
        <a:xfrm>
          <a:off x="7315200" y="2952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1</xdr:row>
      <xdr:rowOff>95250</xdr:rowOff>
    </xdr:from>
    <xdr:to>
      <xdr:col>22</xdr:col>
      <xdr:colOff>38100</xdr:colOff>
      <xdr:row>1</xdr:row>
      <xdr:rowOff>95250</xdr:rowOff>
    </xdr:to>
    <xdr:sp>
      <xdr:nvSpPr>
        <xdr:cNvPr id="51" name="Line 600"/>
        <xdr:cNvSpPr>
          <a:spLocks/>
        </xdr:cNvSpPr>
      </xdr:nvSpPr>
      <xdr:spPr>
        <a:xfrm flipH="1">
          <a:off x="7886700" y="2857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24</xdr:row>
      <xdr:rowOff>0</xdr:rowOff>
    </xdr:from>
    <xdr:to>
      <xdr:col>24</xdr:col>
      <xdr:colOff>0</xdr:colOff>
      <xdr:row>24</xdr:row>
      <xdr:rowOff>0</xdr:rowOff>
    </xdr:to>
    <xdr:sp>
      <xdr:nvSpPr>
        <xdr:cNvPr id="52" name="Line 606"/>
        <xdr:cNvSpPr>
          <a:spLocks/>
        </xdr:cNvSpPr>
      </xdr:nvSpPr>
      <xdr:spPr>
        <a:xfrm>
          <a:off x="6943725" y="45720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0</xdr:rowOff>
    </xdr:from>
    <xdr:to>
      <xdr:col>24</xdr:col>
      <xdr:colOff>0</xdr:colOff>
      <xdr:row>26</xdr:row>
      <xdr:rowOff>0</xdr:rowOff>
    </xdr:to>
    <xdr:sp>
      <xdr:nvSpPr>
        <xdr:cNvPr id="53" name="Line 607"/>
        <xdr:cNvSpPr>
          <a:spLocks/>
        </xdr:cNvSpPr>
      </xdr:nvSpPr>
      <xdr:spPr>
        <a:xfrm>
          <a:off x="6915150" y="49530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28</xdr:row>
      <xdr:rowOff>9525</xdr:rowOff>
    </xdr:from>
    <xdr:to>
      <xdr:col>24</xdr:col>
      <xdr:colOff>0</xdr:colOff>
      <xdr:row>28</xdr:row>
      <xdr:rowOff>9525</xdr:rowOff>
    </xdr:to>
    <xdr:sp>
      <xdr:nvSpPr>
        <xdr:cNvPr id="54" name="Line 609"/>
        <xdr:cNvSpPr>
          <a:spLocks/>
        </xdr:cNvSpPr>
      </xdr:nvSpPr>
      <xdr:spPr>
        <a:xfrm>
          <a:off x="6924675" y="53435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xdr:row>
      <xdr:rowOff>0</xdr:rowOff>
    </xdr:from>
    <xdr:to>
      <xdr:col>23</xdr:col>
      <xdr:colOff>171450</xdr:colOff>
      <xdr:row>30</xdr:row>
      <xdr:rowOff>0</xdr:rowOff>
    </xdr:to>
    <xdr:sp>
      <xdr:nvSpPr>
        <xdr:cNvPr id="55" name="Line 610"/>
        <xdr:cNvSpPr>
          <a:spLocks/>
        </xdr:cNvSpPr>
      </xdr:nvSpPr>
      <xdr:spPr>
        <a:xfrm>
          <a:off x="6915150" y="5715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32</xdr:row>
      <xdr:rowOff>0</xdr:rowOff>
    </xdr:from>
    <xdr:to>
      <xdr:col>23</xdr:col>
      <xdr:colOff>161925</xdr:colOff>
      <xdr:row>32</xdr:row>
      <xdr:rowOff>0</xdr:rowOff>
    </xdr:to>
    <xdr:sp>
      <xdr:nvSpPr>
        <xdr:cNvPr id="56" name="Line 611"/>
        <xdr:cNvSpPr>
          <a:spLocks/>
        </xdr:cNvSpPr>
      </xdr:nvSpPr>
      <xdr:spPr>
        <a:xfrm>
          <a:off x="6934200" y="60960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12</xdr:row>
      <xdr:rowOff>0</xdr:rowOff>
    </xdr:from>
    <xdr:to>
      <xdr:col>18</xdr:col>
      <xdr:colOff>114300</xdr:colOff>
      <xdr:row>12</xdr:row>
      <xdr:rowOff>0</xdr:rowOff>
    </xdr:to>
    <xdr:sp>
      <xdr:nvSpPr>
        <xdr:cNvPr id="57" name="Line 613"/>
        <xdr:cNvSpPr>
          <a:spLocks/>
        </xdr:cNvSpPr>
      </xdr:nvSpPr>
      <xdr:spPr>
        <a:xfrm flipH="1">
          <a:off x="5953125" y="22860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12</xdr:row>
      <xdr:rowOff>0</xdr:rowOff>
    </xdr:from>
    <xdr:to>
      <xdr:col>15</xdr:col>
      <xdr:colOff>142875</xdr:colOff>
      <xdr:row>12</xdr:row>
      <xdr:rowOff>76200</xdr:rowOff>
    </xdr:to>
    <xdr:sp>
      <xdr:nvSpPr>
        <xdr:cNvPr id="58" name="Line 622"/>
        <xdr:cNvSpPr>
          <a:spLocks/>
        </xdr:cNvSpPr>
      </xdr:nvSpPr>
      <xdr:spPr>
        <a:xfrm>
          <a:off x="6800850" y="2286000"/>
          <a:ext cx="7620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12</xdr:row>
      <xdr:rowOff>0</xdr:rowOff>
    </xdr:from>
    <xdr:to>
      <xdr:col>15</xdr:col>
      <xdr:colOff>57150</xdr:colOff>
      <xdr:row>12</xdr:row>
      <xdr:rowOff>66675</xdr:rowOff>
    </xdr:to>
    <xdr:sp>
      <xdr:nvSpPr>
        <xdr:cNvPr id="59" name="Line 625"/>
        <xdr:cNvSpPr>
          <a:spLocks/>
        </xdr:cNvSpPr>
      </xdr:nvSpPr>
      <xdr:spPr>
        <a:xfrm flipH="1">
          <a:off x="6753225" y="22860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12</xdr:row>
      <xdr:rowOff>0</xdr:rowOff>
    </xdr:from>
    <xdr:to>
      <xdr:col>15</xdr:col>
      <xdr:colOff>171450</xdr:colOff>
      <xdr:row>12</xdr:row>
      <xdr:rowOff>76200</xdr:rowOff>
    </xdr:to>
    <xdr:sp>
      <xdr:nvSpPr>
        <xdr:cNvPr id="60" name="Line 627"/>
        <xdr:cNvSpPr>
          <a:spLocks/>
        </xdr:cNvSpPr>
      </xdr:nvSpPr>
      <xdr:spPr>
        <a:xfrm>
          <a:off x="6896100" y="2286000"/>
          <a:ext cx="95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12</xdr:row>
      <xdr:rowOff>9525</xdr:rowOff>
    </xdr:from>
    <xdr:to>
      <xdr:col>16</xdr:col>
      <xdr:colOff>85725</xdr:colOff>
      <xdr:row>12</xdr:row>
      <xdr:rowOff>76200</xdr:rowOff>
    </xdr:to>
    <xdr:sp>
      <xdr:nvSpPr>
        <xdr:cNvPr id="61" name="Line 628"/>
        <xdr:cNvSpPr>
          <a:spLocks/>
        </xdr:cNvSpPr>
      </xdr:nvSpPr>
      <xdr:spPr>
        <a:xfrm flipH="1">
          <a:off x="6962775" y="22955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12</xdr:row>
      <xdr:rowOff>0</xdr:rowOff>
    </xdr:from>
    <xdr:to>
      <xdr:col>18</xdr:col>
      <xdr:colOff>85725</xdr:colOff>
      <xdr:row>12</xdr:row>
      <xdr:rowOff>76200</xdr:rowOff>
    </xdr:to>
    <xdr:sp>
      <xdr:nvSpPr>
        <xdr:cNvPr id="62" name="Line 630"/>
        <xdr:cNvSpPr>
          <a:spLocks/>
        </xdr:cNvSpPr>
      </xdr:nvSpPr>
      <xdr:spPr>
        <a:xfrm>
          <a:off x="7286625" y="2286000"/>
          <a:ext cx="7620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12</xdr:row>
      <xdr:rowOff>0</xdr:rowOff>
    </xdr:from>
    <xdr:to>
      <xdr:col>17</xdr:col>
      <xdr:colOff>66675</xdr:colOff>
      <xdr:row>12</xdr:row>
      <xdr:rowOff>66675</xdr:rowOff>
    </xdr:to>
    <xdr:sp>
      <xdr:nvSpPr>
        <xdr:cNvPr id="63" name="Line 631"/>
        <xdr:cNvSpPr>
          <a:spLocks/>
        </xdr:cNvSpPr>
      </xdr:nvSpPr>
      <xdr:spPr>
        <a:xfrm>
          <a:off x="7124700" y="22860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123825</xdr:colOff>
      <xdr:row>12</xdr:row>
      <xdr:rowOff>9525</xdr:rowOff>
    </xdr:from>
    <xdr:to>
      <xdr:col>17</xdr:col>
      <xdr:colOff>171450</xdr:colOff>
      <xdr:row>12</xdr:row>
      <xdr:rowOff>85725</xdr:rowOff>
    </xdr:to>
    <xdr:sp>
      <xdr:nvSpPr>
        <xdr:cNvPr id="64" name="Line 632"/>
        <xdr:cNvSpPr>
          <a:spLocks/>
        </xdr:cNvSpPr>
      </xdr:nvSpPr>
      <xdr:spPr>
        <a:xfrm>
          <a:off x="7219950" y="2295525"/>
          <a:ext cx="476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142875</xdr:colOff>
      <xdr:row>12</xdr:row>
      <xdr:rowOff>0</xdr:rowOff>
    </xdr:from>
    <xdr:to>
      <xdr:col>17</xdr:col>
      <xdr:colOff>0</xdr:colOff>
      <xdr:row>12</xdr:row>
      <xdr:rowOff>66675</xdr:rowOff>
    </xdr:to>
    <xdr:sp>
      <xdr:nvSpPr>
        <xdr:cNvPr id="65" name="Line 633"/>
        <xdr:cNvSpPr>
          <a:spLocks/>
        </xdr:cNvSpPr>
      </xdr:nvSpPr>
      <xdr:spPr>
        <a:xfrm flipH="1">
          <a:off x="7058025" y="22860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15</xdr:row>
      <xdr:rowOff>19050</xdr:rowOff>
    </xdr:from>
    <xdr:to>
      <xdr:col>12</xdr:col>
      <xdr:colOff>9525</xdr:colOff>
      <xdr:row>15</xdr:row>
      <xdr:rowOff>142875</xdr:rowOff>
    </xdr:to>
    <xdr:sp>
      <xdr:nvSpPr>
        <xdr:cNvPr id="66" name="Line 640"/>
        <xdr:cNvSpPr>
          <a:spLocks/>
        </xdr:cNvSpPr>
      </xdr:nvSpPr>
      <xdr:spPr>
        <a:xfrm flipV="1">
          <a:off x="6200775" y="2876550"/>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xdr:row>
      <xdr:rowOff>9525</xdr:rowOff>
    </xdr:from>
    <xdr:to>
      <xdr:col>16</xdr:col>
      <xdr:colOff>19050</xdr:colOff>
      <xdr:row>4</xdr:row>
      <xdr:rowOff>0</xdr:rowOff>
    </xdr:to>
    <xdr:sp>
      <xdr:nvSpPr>
        <xdr:cNvPr id="67" name="Line 642"/>
        <xdr:cNvSpPr>
          <a:spLocks/>
        </xdr:cNvSpPr>
      </xdr:nvSpPr>
      <xdr:spPr>
        <a:xfrm flipV="1">
          <a:off x="6934200" y="3905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5</xdr:row>
      <xdr:rowOff>66675</xdr:rowOff>
    </xdr:from>
    <xdr:to>
      <xdr:col>16</xdr:col>
      <xdr:colOff>0</xdr:colOff>
      <xdr:row>12</xdr:row>
      <xdr:rowOff>0</xdr:rowOff>
    </xdr:to>
    <xdr:sp>
      <xdr:nvSpPr>
        <xdr:cNvPr id="68" name="Line 643"/>
        <xdr:cNvSpPr>
          <a:spLocks/>
        </xdr:cNvSpPr>
      </xdr:nvSpPr>
      <xdr:spPr>
        <a:xfrm>
          <a:off x="6915150" y="1019175"/>
          <a:ext cx="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xdr:colOff>
      <xdr:row>19</xdr:row>
      <xdr:rowOff>123825</xdr:rowOff>
    </xdr:from>
    <xdr:to>
      <xdr:col>26</xdr:col>
      <xdr:colOff>9525</xdr:colOff>
      <xdr:row>19</xdr:row>
      <xdr:rowOff>123825</xdr:rowOff>
    </xdr:to>
    <xdr:sp>
      <xdr:nvSpPr>
        <xdr:cNvPr id="69" name="Line 644"/>
        <xdr:cNvSpPr>
          <a:spLocks/>
        </xdr:cNvSpPr>
      </xdr:nvSpPr>
      <xdr:spPr>
        <a:xfrm>
          <a:off x="7915275" y="374332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19</xdr:row>
      <xdr:rowOff>114300</xdr:rowOff>
    </xdr:from>
    <xdr:to>
      <xdr:col>19</xdr:col>
      <xdr:colOff>85725</xdr:colOff>
      <xdr:row>19</xdr:row>
      <xdr:rowOff>114300</xdr:rowOff>
    </xdr:to>
    <xdr:sp>
      <xdr:nvSpPr>
        <xdr:cNvPr id="70" name="Line 645"/>
        <xdr:cNvSpPr>
          <a:spLocks/>
        </xdr:cNvSpPr>
      </xdr:nvSpPr>
      <xdr:spPr>
        <a:xfrm flipH="1">
          <a:off x="6572250" y="3733800"/>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24</xdr:row>
      <xdr:rowOff>0</xdr:rowOff>
    </xdr:from>
    <xdr:to>
      <xdr:col>19</xdr:col>
      <xdr:colOff>47625</xdr:colOff>
      <xdr:row>25</xdr:row>
      <xdr:rowOff>0</xdr:rowOff>
    </xdr:to>
    <xdr:sp>
      <xdr:nvSpPr>
        <xdr:cNvPr id="71" name="Line 648"/>
        <xdr:cNvSpPr>
          <a:spLocks/>
        </xdr:cNvSpPr>
      </xdr:nvSpPr>
      <xdr:spPr>
        <a:xfrm flipV="1">
          <a:off x="7505700" y="45720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25</xdr:row>
      <xdr:rowOff>19050</xdr:rowOff>
    </xdr:from>
    <xdr:to>
      <xdr:col>19</xdr:col>
      <xdr:colOff>47625</xdr:colOff>
      <xdr:row>26</xdr:row>
      <xdr:rowOff>0</xdr:rowOff>
    </xdr:to>
    <xdr:sp>
      <xdr:nvSpPr>
        <xdr:cNvPr id="72" name="Line 649"/>
        <xdr:cNvSpPr>
          <a:spLocks/>
        </xdr:cNvSpPr>
      </xdr:nvSpPr>
      <xdr:spPr>
        <a:xfrm>
          <a:off x="7505700" y="47815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25</xdr:row>
      <xdr:rowOff>38100</xdr:rowOff>
    </xdr:from>
    <xdr:to>
      <xdr:col>19</xdr:col>
      <xdr:colOff>57150</xdr:colOff>
      <xdr:row>25</xdr:row>
      <xdr:rowOff>38100</xdr:rowOff>
    </xdr:to>
    <xdr:sp>
      <xdr:nvSpPr>
        <xdr:cNvPr id="73" name="Line 650"/>
        <xdr:cNvSpPr>
          <a:spLocks/>
        </xdr:cNvSpPr>
      </xdr:nvSpPr>
      <xdr:spPr>
        <a:xfrm flipH="1">
          <a:off x="7239000" y="4800600"/>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152400</xdr:colOff>
      <xdr:row>21</xdr:row>
      <xdr:rowOff>104775</xdr:rowOff>
    </xdr:from>
    <xdr:to>
      <xdr:col>17</xdr:col>
      <xdr:colOff>152400</xdr:colOff>
      <xdr:row>25</xdr:row>
      <xdr:rowOff>28575</xdr:rowOff>
    </xdr:to>
    <xdr:sp>
      <xdr:nvSpPr>
        <xdr:cNvPr id="74" name="Line 651"/>
        <xdr:cNvSpPr>
          <a:spLocks/>
        </xdr:cNvSpPr>
      </xdr:nvSpPr>
      <xdr:spPr>
        <a:xfrm flipV="1">
          <a:off x="7248525" y="41052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26</xdr:row>
      <xdr:rowOff>9525</xdr:rowOff>
    </xdr:from>
    <xdr:to>
      <xdr:col>19</xdr:col>
      <xdr:colOff>47625</xdr:colOff>
      <xdr:row>28</xdr:row>
      <xdr:rowOff>28575</xdr:rowOff>
    </xdr:to>
    <xdr:sp>
      <xdr:nvSpPr>
        <xdr:cNvPr id="75" name="Line 652"/>
        <xdr:cNvSpPr>
          <a:spLocks/>
        </xdr:cNvSpPr>
      </xdr:nvSpPr>
      <xdr:spPr>
        <a:xfrm>
          <a:off x="7505700" y="49625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28</xdr:row>
      <xdr:rowOff>38100</xdr:rowOff>
    </xdr:from>
    <xdr:to>
      <xdr:col>10</xdr:col>
      <xdr:colOff>85725</xdr:colOff>
      <xdr:row>33</xdr:row>
      <xdr:rowOff>161925</xdr:rowOff>
    </xdr:to>
    <xdr:sp>
      <xdr:nvSpPr>
        <xdr:cNvPr id="76" name="Line 654"/>
        <xdr:cNvSpPr>
          <a:spLocks/>
        </xdr:cNvSpPr>
      </xdr:nvSpPr>
      <xdr:spPr>
        <a:xfrm>
          <a:off x="5915025" y="5372100"/>
          <a:ext cx="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33</xdr:row>
      <xdr:rowOff>171450</xdr:rowOff>
    </xdr:from>
    <xdr:to>
      <xdr:col>11</xdr:col>
      <xdr:colOff>57150</xdr:colOff>
      <xdr:row>33</xdr:row>
      <xdr:rowOff>171450</xdr:rowOff>
    </xdr:to>
    <xdr:sp>
      <xdr:nvSpPr>
        <xdr:cNvPr id="77" name="Line 655"/>
        <xdr:cNvSpPr>
          <a:spLocks/>
        </xdr:cNvSpPr>
      </xdr:nvSpPr>
      <xdr:spPr>
        <a:xfrm flipH="1">
          <a:off x="5772150" y="64579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22</xdr:row>
      <xdr:rowOff>9525</xdr:rowOff>
    </xdr:from>
    <xdr:to>
      <xdr:col>10</xdr:col>
      <xdr:colOff>95250</xdr:colOff>
      <xdr:row>26</xdr:row>
      <xdr:rowOff>123825</xdr:rowOff>
    </xdr:to>
    <xdr:sp>
      <xdr:nvSpPr>
        <xdr:cNvPr id="78" name="Line 656"/>
        <xdr:cNvSpPr>
          <a:spLocks/>
        </xdr:cNvSpPr>
      </xdr:nvSpPr>
      <xdr:spPr>
        <a:xfrm flipV="1">
          <a:off x="5924550" y="4200525"/>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22</xdr:row>
      <xdr:rowOff>9525</xdr:rowOff>
    </xdr:from>
    <xdr:to>
      <xdr:col>11</xdr:col>
      <xdr:colOff>57150</xdr:colOff>
      <xdr:row>22</xdr:row>
      <xdr:rowOff>9525</xdr:rowOff>
    </xdr:to>
    <xdr:sp>
      <xdr:nvSpPr>
        <xdr:cNvPr id="79" name="Line 657"/>
        <xdr:cNvSpPr>
          <a:spLocks/>
        </xdr:cNvSpPr>
      </xdr:nvSpPr>
      <xdr:spPr>
        <a:xfrm>
          <a:off x="5791200" y="42005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27</xdr:row>
      <xdr:rowOff>95250</xdr:rowOff>
    </xdr:from>
    <xdr:to>
      <xdr:col>22</xdr:col>
      <xdr:colOff>76200</xdr:colOff>
      <xdr:row>28</xdr:row>
      <xdr:rowOff>9525</xdr:rowOff>
    </xdr:to>
    <xdr:sp>
      <xdr:nvSpPr>
        <xdr:cNvPr id="80" name="Line 667"/>
        <xdr:cNvSpPr>
          <a:spLocks/>
        </xdr:cNvSpPr>
      </xdr:nvSpPr>
      <xdr:spPr>
        <a:xfrm flipH="1">
          <a:off x="8067675" y="5238750"/>
          <a:ext cx="95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66675</xdr:colOff>
      <xdr:row>21</xdr:row>
      <xdr:rowOff>171450</xdr:rowOff>
    </xdr:from>
    <xdr:to>
      <xdr:col>22</xdr:col>
      <xdr:colOff>66675</xdr:colOff>
      <xdr:row>26</xdr:row>
      <xdr:rowOff>19050</xdr:rowOff>
    </xdr:to>
    <xdr:sp>
      <xdr:nvSpPr>
        <xdr:cNvPr id="81" name="Line 668"/>
        <xdr:cNvSpPr>
          <a:spLocks/>
        </xdr:cNvSpPr>
      </xdr:nvSpPr>
      <xdr:spPr>
        <a:xfrm flipV="1">
          <a:off x="8067675" y="41719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21</xdr:row>
      <xdr:rowOff>171450</xdr:rowOff>
    </xdr:from>
    <xdr:to>
      <xdr:col>20</xdr:col>
      <xdr:colOff>133350</xdr:colOff>
      <xdr:row>23</xdr:row>
      <xdr:rowOff>171450</xdr:rowOff>
    </xdr:to>
    <xdr:sp>
      <xdr:nvSpPr>
        <xdr:cNvPr id="82" name="Line 669"/>
        <xdr:cNvSpPr>
          <a:spLocks/>
        </xdr:cNvSpPr>
      </xdr:nvSpPr>
      <xdr:spPr>
        <a:xfrm flipV="1">
          <a:off x="7772400" y="41719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25</xdr:row>
      <xdr:rowOff>142875</xdr:rowOff>
    </xdr:from>
    <xdr:to>
      <xdr:col>20</xdr:col>
      <xdr:colOff>133350</xdr:colOff>
      <xdr:row>29</xdr:row>
      <xdr:rowOff>180975</xdr:rowOff>
    </xdr:to>
    <xdr:sp>
      <xdr:nvSpPr>
        <xdr:cNvPr id="83" name="Line 670"/>
        <xdr:cNvSpPr>
          <a:spLocks/>
        </xdr:cNvSpPr>
      </xdr:nvSpPr>
      <xdr:spPr>
        <a:xfrm>
          <a:off x="7772400" y="4905375"/>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31</xdr:row>
      <xdr:rowOff>123825</xdr:rowOff>
    </xdr:from>
    <xdr:to>
      <xdr:col>24</xdr:col>
      <xdr:colOff>152400</xdr:colOff>
      <xdr:row>31</xdr:row>
      <xdr:rowOff>123825</xdr:rowOff>
    </xdr:to>
    <xdr:sp>
      <xdr:nvSpPr>
        <xdr:cNvPr id="84" name="Line 671"/>
        <xdr:cNvSpPr>
          <a:spLocks/>
        </xdr:cNvSpPr>
      </xdr:nvSpPr>
      <xdr:spPr>
        <a:xfrm flipH="1">
          <a:off x="8362950" y="60293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31</xdr:row>
      <xdr:rowOff>123825</xdr:rowOff>
    </xdr:from>
    <xdr:to>
      <xdr:col>23</xdr:col>
      <xdr:colOff>171450</xdr:colOff>
      <xdr:row>31</xdr:row>
      <xdr:rowOff>123825</xdr:rowOff>
    </xdr:to>
    <xdr:sp>
      <xdr:nvSpPr>
        <xdr:cNvPr id="85" name="Line 672"/>
        <xdr:cNvSpPr>
          <a:spLocks/>
        </xdr:cNvSpPr>
      </xdr:nvSpPr>
      <xdr:spPr>
        <a:xfrm flipH="1">
          <a:off x="8191500" y="60293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171450</xdr:colOff>
      <xdr:row>31</xdr:row>
      <xdr:rowOff>114300</xdr:rowOff>
    </xdr:from>
    <xdr:to>
      <xdr:col>22</xdr:col>
      <xdr:colOff>152400</xdr:colOff>
      <xdr:row>31</xdr:row>
      <xdr:rowOff>114300</xdr:rowOff>
    </xdr:to>
    <xdr:sp>
      <xdr:nvSpPr>
        <xdr:cNvPr id="86" name="Line 673"/>
        <xdr:cNvSpPr>
          <a:spLocks/>
        </xdr:cNvSpPr>
      </xdr:nvSpPr>
      <xdr:spPr>
        <a:xfrm flipH="1">
          <a:off x="7991475" y="60198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171450</xdr:colOff>
      <xdr:row>31</xdr:row>
      <xdr:rowOff>114300</xdr:rowOff>
    </xdr:from>
    <xdr:to>
      <xdr:col>21</xdr:col>
      <xdr:colOff>152400</xdr:colOff>
      <xdr:row>31</xdr:row>
      <xdr:rowOff>114300</xdr:rowOff>
    </xdr:to>
    <xdr:sp>
      <xdr:nvSpPr>
        <xdr:cNvPr id="87" name="Line 674"/>
        <xdr:cNvSpPr>
          <a:spLocks/>
        </xdr:cNvSpPr>
      </xdr:nvSpPr>
      <xdr:spPr>
        <a:xfrm flipH="1">
          <a:off x="7810500" y="60198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31</xdr:row>
      <xdr:rowOff>114300</xdr:rowOff>
    </xdr:from>
    <xdr:to>
      <xdr:col>20</xdr:col>
      <xdr:colOff>171450</xdr:colOff>
      <xdr:row>31</xdr:row>
      <xdr:rowOff>114300</xdr:rowOff>
    </xdr:to>
    <xdr:sp>
      <xdr:nvSpPr>
        <xdr:cNvPr id="88" name="Line 675"/>
        <xdr:cNvSpPr>
          <a:spLocks/>
        </xdr:cNvSpPr>
      </xdr:nvSpPr>
      <xdr:spPr>
        <a:xfrm flipH="1">
          <a:off x="7648575" y="60198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171450</xdr:colOff>
      <xdr:row>28</xdr:row>
      <xdr:rowOff>123825</xdr:rowOff>
    </xdr:from>
    <xdr:to>
      <xdr:col>24</xdr:col>
      <xdr:colOff>104775</xdr:colOff>
      <xdr:row>28</xdr:row>
      <xdr:rowOff>123825</xdr:rowOff>
    </xdr:to>
    <xdr:sp>
      <xdr:nvSpPr>
        <xdr:cNvPr id="89" name="Line 677"/>
        <xdr:cNvSpPr>
          <a:spLocks/>
        </xdr:cNvSpPr>
      </xdr:nvSpPr>
      <xdr:spPr>
        <a:xfrm flipH="1">
          <a:off x="8353425" y="545782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28</xdr:row>
      <xdr:rowOff>133350</xdr:rowOff>
    </xdr:from>
    <xdr:to>
      <xdr:col>23</xdr:col>
      <xdr:colOff>171450</xdr:colOff>
      <xdr:row>28</xdr:row>
      <xdr:rowOff>133350</xdr:rowOff>
    </xdr:to>
    <xdr:sp>
      <xdr:nvSpPr>
        <xdr:cNvPr id="90" name="Line 678"/>
        <xdr:cNvSpPr>
          <a:spLocks/>
        </xdr:cNvSpPr>
      </xdr:nvSpPr>
      <xdr:spPr>
        <a:xfrm flipH="1">
          <a:off x="8010525" y="54673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28</xdr:row>
      <xdr:rowOff>133350</xdr:rowOff>
    </xdr:from>
    <xdr:to>
      <xdr:col>22</xdr:col>
      <xdr:colOff>0</xdr:colOff>
      <xdr:row>28</xdr:row>
      <xdr:rowOff>133350</xdr:rowOff>
    </xdr:to>
    <xdr:sp>
      <xdr:nvSpPr>
        <xdr:cNvPr id="91" name="Line 679"/>
        <xdr:cNvSpPr>
          <a:spLocks/>
        </xdr:cNvSpPr>
      </xdr:nvSpPr>
      <xdr:spPr>
        <a:xfrm flipH="1">
          <a:off x="7648575" y="54673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28</xdr:row>
      <xdr:rowOff>133350</xdr:rowOff>
    </xdr:from>
    <xdr:to>
      <xdr:col>20</xdr:col>
      <xdr:colOff>0</xdr:colOff>
      <xdr:row>28</xdr:row>
      <xdr:rowOff>133350</xdr:rowOff>
    </xdr:to>
    <xdr:sp>
      <xdr:nvSpPr>
        <xdr:cNvPr id="92" name="Line 680"/>
        <xdr:cNvSpPr>
          <a:spLocks/>
        </xdr:cNvSpPr>
      </xdr:nvSpPr>
      <xdr:spPr>
        <a:xfrm flipH="1">
          <a:off x="7277100" y="5467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171450</xdr:colOff>
      <xdr:row>23</xdr:row>
      <xdr:rowOff>95250</xdr:rowOff>
    </xdr:from>
    <xdr:to>
      <xdr:col>25</xdr:col>
      <xdr:colOff>0</xdr:colOff>
      <xdr:row>23</xdr:row>
      <xdr:rowOff>95250</xdr:rowOff>
    </xdr:to>
    <xdr:sp>
      <xdr:nvSpPr>
        <xdr:cNvPr id="93" name="Line 681"/>
        <xdr:cNvSpPr>
          <a:spLocks/>
        </xdr:cNvSpPr>
      </xdr:nvSpPr>
      <xdr:spPr>
        <a:xfrm flipH="1">
          <a:off x="8353425" y="4476750"/>
          <a:ext cx="1905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23</xdr:row>
      <xdr:rowOff>95250</xdr:rowOff>
    </xdr:from>
    <xdr:to>
      <xdr:col>23</xdr:col>
      <xdr:colOff>171450</xdr:colOff>
      <xdr:row>23</xdr:row>
      <xdr:rowOff>95250</xdr:rowOff>
    </xdr:to>
    <xdr:sp>
      <xdr:nvSpPr>
        <xdr:cNvPr id="94" name="Line 682"/>
        <xdr:cNvSpPr>
          <a:spLocks/>
        </xdr:cNvSpPr>
      </xdr:nvSpPr>
      <xdr:spPr>
        <a:xfrm flipH="1">
          <a:off x="7648575" y="4476750"/>
          <a:ext cx="7048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95250</xdr:rowOff>
    </xdr:from>
    <xdr:to>
      <xdr:col>20</xdr:col>
      <xdr:colOff>19050</xdr:colOff>
      <xdr:row>23</xdr:row>
      <xdr:rowOff>95250</xdr:rowOff>
    </xdr:to>
    <xdr:sp>
      <xdr:nvSpPr>
        <xdr:cNvPr id="95" name="Line 683"/>
        <xdr:cNvSpPr>
          <a:spLocks/>
        </xdr:cNvSpPr>
      </xdr:nvSpPr>
      <xdr:spPr>
        <a:xfrm flipH="1">
          <a:off x="6915150" y="4476750"/>
          <a:ext cx="742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171450</xdr:colOff>
      <xdr:row>8</xdr:row>
      <xdr:rowOff>104775</xdr:rowOff>
    </xdr:from>
    <xdr:to>
      <xdr:col>16</xdr:col>
      <xdr:colOff>171450</xdr:colOff>
      <xdr:row>10</xdr:row>
      <xdr:rowOff>0</xdr:rowOff>
    </xdr:to>
    <xdr:sp>
      <xdr:nvSpPr>
        <xdr:cNvPr id="96" name="Line 729"/>
        <xdr:cNvSpPr>
          <a:spLocks/>
        </xdr:cNvSpPr>
      </xdr:nvSpPr>
      <xdr:spPr>
        <a:xfrm>
          <a:off x="7086600" y="16287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xdr:row>
      <xdr:rowOff>9525</xdr:rowOff>
    </xdr:from>
    <xdr:to>
      <xdr:col>16</xdr:col>
      <xdr:colOff>161925</xdr:colOff>
      <xdr:row>7</xdr:row>
      <xdr:rowOff>114300</xdr:rowOff>
    </xdr:to>
    <xdr:sp>
      <xdr:nvSpPr>
        <xdr:cNvPr id="97" name="Line 730"/>
        <xdr:cNvSpPr>
          <a:spLocks/>
        </xdr:cNvSpPr>
      </xdr:nvSpPr>
      <xdr:spPr>
        <a:xfrm flipV="1">
          <a:off x="7077075" y="390525"/>
          <a:ext cx="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2</xdr:row>
      <xdr:rowOff>47625</xdr:rowOff>
    </xdr:from>
    <xdr:to>
      <xdr:col>21</xdr:col>
      <xdr:colOff>123825</xdr:colOff>
      <xdr:row>15</xdr:row>
      <xdr:rowOff>76200</xdr:rowOff>
    </xdr:to>
    <xdr:sp>
      <xdr:nvSpPr>
        <xdr:cNvPr id="98" name="Line 574"/>
        <xdr:cNvSpPr>
          <a:spLocks/>
        </xdr:cNvSpPr>
      </xdr:nvSpPr>
      <xdr:spPr>
        <a:xfrm flipH="1" flipV="1">
          <a:off x="7858125" y="428625"/>
          <a:ext cx="85725" cy="2505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2</xdr:row>
      <xdr:rowOff>66675</xdr:rowOff>
    </xdr:from>
    <xdr:to>
      <xdr:col>19</xdr:col>
      <xdr:colOff>104775</xdr:colOff>
      <xdr:row>16</xdr:row>
      <xdr:rowOff>104775</xdr:rowOff>
    </xdr:to>
    <xdr:sp>
      <xdr:nvSpPr>
        <xdr:cNvPr id="99" name="Line 579"/>
        <xdr:cNvSpPr>
          <a:spLocks/>
        </xdr:cNvSpPr>
      </xdr:nvSpPr>
      <xdr:spPr>
        <a:xfrm flipH="1">
          <a:off x="7448550" y="447675"/>
          <a:ext cx="114300"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14</xdr:row>
      <xdr:rowOff>57150</xdr:rowOff>
    </xdr:from>
    <xdr:to>
      <xdr:col>21</xdr:col>
      <xdr:colOff>85725</xdr:colOff>
      <xdr:row>14</xdr:row>
      <xdr:rowOff>104775</xdr:rowOff>
    </xdr:to>
    <xdr:sp>
      <xdr:nvSpPr>
        <xdr:cNvPr id="100" name="Arc 605"/>
        <xdr:cNvSpPr>
          <a:spLocks/>
        </xdr:cNvSpPr>
      </xdr:nvSpPr>
      <xdr:spPr>
        <a:xfrm>
          <a:off x="7867650" y="27241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16</xdr:row>
      <xdr:rowOff>85725</xdr:rowOff>
    </xdr:from>
    <xdr:to>
      <xdr:col>28</xdr:col>
      <xdr:colOff>9525</xdr:colOff>
      <xdr:row>17</xdr:row>
      <xdr:rowOff>19050</xdr:rowOff>
    </xdr:to>
    <xdr:sp>
      <xdr:nvSpPr>
        <xdr:cNvPr id="101" name="Line 737"/>
        <xdr:cNvSpPr>
          <a:spLocks/>
        </xdr:cNvSpPr>
      </xdr:nvSpPr>
      <xdr:spPr>
        <a:xfrm>
          <a:off x="9096375" y="313372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25</xdr:row>
      <xdr:rowOff>152400</xdr:rowOff>
    </xdr:from>
    <xdr:to>
      <xdr:col>36</xdr:col>
      <xdr:colOff>0</xdr:colOff>
      <xdr:row>26</xdr:row>
      <xdr:rowOff>9525</xdr:rowOff>
    </xdr:to>
    <xdr:sp>
      <xdr:nvSpPr>
        <xdr:cNvPr id="102" name="Arc 861"/>
        <xdr:cNvSpPr>
          <a:spLocks/>
        </xdr:cNvSpPr>
      </xdr:nvSpPr>
      <xdr:spPr>
        <a:xfrm>
          <a:off x="10506075" y="49149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114300</xdr:colOff>
      <xdr:row>26</xdr:row>
      <xdr:rowOff>114300</xdr:rowOff>
    </xdr:from>
    <xdr:to>
      <xdr:col>36</xdr:col>
      <xdr:colOff>152400</xdr:colOff>
      <xdr:row>26</xdr:row>
      <xdr:rowOff>161925</xdr:rowOff>
    </xdr:to>
    <xdr:sp>
      <xdr:nvSpPr>
        <xdr:cNvPr id="103" name="Arc 862"/>
        <xdr:cNvSpPr>
          <a:spLocks/>
        </xdr:cNvSpPr>
      </xdr:nvSpPr>
      <xdr:spPr>
        <a:xfrm>
          <a:off x="10658475" y="50673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76200</xdr:colOff>
      <xdr:row>27</xdr:row>
      <xdr:rowOff>76200</xdr:rowOff>
    </xdr:from>
    <xdr:to>
      <xdr:col>37</xdr:col>
      <xdr:colOff>114300</xdr:colOff>
      <xdr:row>27</xdr:row>
      <xdr:rowOff>123825</xdr:rowOff>
    </xdr:to>
    <xdr:sp>
      <xdr:nvSpPr>
        <xdr:cNvPr id="104" name="Arc 863"/>
        <xdr:cNvSpPr>
          <a:spLocks/>
        </xdr:cNvSpPr>
      </xdr:nvSpPr>
      <xdr:spPr>
        <a:xfrm>
          <a:off x="10810875" y="52197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38100</xdr:colOff>
      <xdr:row>28</xdr:row>
      <xdr:rowOff>38100</xdr:rowOff>
    </xdr:from>
    <xdr:to>
      <xdr:col>38</xdr:col>
      <xdr:colOff>76200</xdr:colOff>
      <xdr:row>28</xdr:row>
      <xdr:rowOff>85725</xdr:rowOff>
    </xdr:to>
    <xdr:sp>
      <xdr:nvSpPr>
        <xdr:cNvPr id="105" name="Arc 864"/>
        <xdr:cNvSpPr>
          <a:spLocks/>
        </xdr:cNvSpPr>
      </xdr:nvSpPr>
      <xdr:spPr>
        <a:xfrm>
          <a:off x="10963275" y="53721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3</xdr:row>
      <xdr:rowOff>95250</xdr:rowOff>
    </xdr:from>
    <xdr:to>
      <xdr:col>19</xdr:col>
      <xdr:colOff>85725</xdr:colOff>
      <xdr:row>3</xdr:row>
      <xdr:rowOff>95250</xdr:rowOff>
    </xdr:to>
    <xdr:sp>
      <xdr:nvSpPr>
        <xdr:cNvPr id="106" name="Line 909"/>
        <xdr:cNvSpPr>
          <a:spLocks/>
        </xdr:cNvSpPr>
      </xdr:nvSpPr>
      <xdr:spPr>
        <a:xfrm>
          <a:off x="6419850" y="66675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xdr:colOff>
      <xdr:row>13</xdr:row>
      <xdr:rowOff>95250</xdr:rowOff>
    </xdr:from>
    <xdr:to>
      <xdr:col>26</xdr:col>
      <xdr:colOff>38100</xdr:colOff>
      <xdr:row>13</xdr:row>
      <xdr:rowOff>104775</xdr:rowOff>
    </xdr:to>
    <xdr:sp>
      <xdr:nvSpPr>
        <xdr:cNvPr id="107" name="Line 922"/>
        <xdr:cNvSpPr>
          <a:spLocks/>
        </xdr:cNvSpPr>
      </xdr:nvSpPr>
      <xdr:spPr>
        <a:xfrm flipH="1" flipV="1">
          <a:off x="8458200" y="2571750"/>
          <a:ext cx="304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21</xdr:row>
      <xdr:rowOff>180975</xdr:rowOff>
    </xdr:from>
    <xdr:to>
      <xdr:col>15</xdr:col>
      <xdr:colOff>19050</xdr:colOff>
      <xdr:row>33</xdr:row>
      <xdr:rowOff>171450</xdr:rowOff>
    </xdr:to>
    <xdr:sp>
      <xdr:nvSpPr>
        <xdr:cNvPr id="108" name="Line 943"/>
        <xdr:cNvSpPr>
          <a:spLocks/>
        </xdr:cNvSpPr>
      </xdr:nvSpPr>
      <xdr:spPr>
        <a:xfrm flipV="1">
          <a:off x="6753225" y="4181475"/>
          <a:ext cx="0" cy="2276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22</xdr:row>
      <xdr:rowOff>9525</xdr:rowOff>
    </xdr:from>
    <xdr:to>
      <xdr:col>15</xdr:col>
      <xdr:colOff>19050</xdr:colOff>
      <xdr:row>22</xdr:row>
      <xdr:rowOff>9525</xdr:rowOff>
    </xdr:to>
    <xdr:sp>
      <xdr:nvSpPr>
        <xdr:cNvPr id="109" name="Line 945"/>
        <xdr:cNvSpPr>
          <a:spLocks/>
        </xdr:cNvSpPr>
      </xdr:nvSpPr>
      <xdr:spPr>
        <a:xfrm>
          <a:off x="6010275" y="4200525"/>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26</xdr:row>
      <xdr:rowOff>19050</xdr:rowOff>
    </xdr:from>
    <xdr:to>
      <xdr:col>15</xdr:col>
      <xdr:colOff>28575</xdr:colOff>
      <xdr:row>26</xdr:row>
      <xdr:rowOff>19050</xdr:rowOff>
    </xdr:to>
    <xdr:sp>
      <xdr:nvSpPr>
        <xdr:cNvPr id="110" name="Line 947"/>
        <xdr:cNvSpPr>
          <a:spLocks/>
        </xdr:cNvSpPr>
      </xdr:nvSpPr>
      <xdr:spPr>
        <a:xfrm>
          <a:off x="6019800" y="497205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30</xdr:row>
      <xdr:rowOff>19050</xdr:rowOff>
    </xdr:from>
    <xdr:to>
      <xdr:col>15</xdr:col>
      <xdr:colOff>38100</xdr:colOff>
      <xdr:row>30</xdr:row>
      <xdr:rowOff>19050</xdr:rowOff>
    </xdr:to>
    <xdr:sp>
      <xdr:nvSpPr>
        <xdr:cNvPr id="111" name="Line 948"/>
        <xdr:cNvSpPr>
          <a:spLocks/>
        </xdr:cNvSpPr>
      </xdr:nvSpPr>
      <xdr:spPr>
        <a:xfrm>
          <a:off x="6029325" y="573405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33</xdr:row>
      <xdr:rowOff>171450</xdr:rowOff>
    </xdr:from>
    <xdr:to>
      <xdr:col>15</xdr:col>
      <xdr:colOff>28575</xdr:colOff>
      <xdr:row>33</xdr:row>
      <xdr:rowOff>171450</xdr:rowOff>
    </xdr:to>
    <xdr:sp>
      <xdr:nvSpPr>
        <xdr:cNvPr id="112" name="Line 949"/>
        <xdr:cNvSpPr>
          <a:spLocks/>
        </xdr:cNvSpPr>
      </xdr:nvSpPr>
      <xdr:spPr>
        <a:xfrm>
          <a:off x="6019800" y="645795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23</xdr:row>
      <xdr:rowOff>85725</xdr:rowOff>
    </xdr:from>
    <xdr:to>
      <xdr:col>15</xdr:col>
      <xdr:colOff>28575</xdr:colOff>
      <xdr:row>23</xdr:row>
      <xdr:rowOff>85725</xdr:rowOff>
    </xdr:to>
    <xdr:sp>
      <xdr:nvSpPr>
        <xdr:cNvPr id="113" name="Line 950"/>
        <xdr:cNvSpPr>
          <a:spLocks/>
        </xdr:cNvSpPr>
      </xdr:nvSpPr>
      <xdr:spPr>
        <a:xfrm>
          <a:off x="6505575" y="44672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23</xdr:row>
      <xdr:rowOff>95250</xdr:rowOff>
    </xdr:from>
    <xdr:to>
      <xdr:col>11</xdr:col>
      <xdr:colOff>171450</xdr:colOff>
      <xdr:row>23</xdr:row>
      <xdr:rowOff>95250</xdr:rowOff>
    </xdr:to>
    <xdr:sp>
      <xdr:nvSpPr>
        <xdr:cNvPr id="114" name="Line 951"/>
        <xdr:cNvSpPr>
          <a:spLocks/>
        </xdr:cNvSpPr>
      </xdr:nvSpPr>
      <xdr:spPr>
        <a:xfrm flipH="1">
          <a:off x="6010275" y="44767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22</xdr:row>
      <xdr:rowOff>28575</xdr:rowOff>
    </xdr:from>
    <xdr:to>
      <xdr:col>13</xdr:col>
      <xdr:colOff>19050</xdr:colOff>
      <xdr:row>23</xdr:row>
      <xdr:rowOff>28575</xdr:rowOff>
    </xdr:to>
    <xdr:sp>
      <xdr:nvSpPr>
        <xdr:cNvPr id="115" name="Line 952"/>
        <xdr:cNvSpPr>
          <a:spLocks/>
        </xdr:cNvSpPr>
      </xdr:nvSpPr>
      <xdr:spPr>
        <a:xfrm flipV="1">
          <a:off x="6391275" y="4219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24</xdr:row>
      <xdr:rowOff>180975</xdr:rowOff>
    </xdr:from>
    <xdr:to>
      <xdr:col>13</xdr:col>
      <xdr:colOff>9525</xdr:colOff>
      <xdr:row>26</xdr:row>
      <xdr:rowOff>9525</xdr:rowOff>
    </xdr:to>
    <xdr:sp>
      <xdr:nvSpPr>
        <xdr:cNvPr id="116" name="Line 953"/>
        <xdr:cNvSpPr>
          <a:spLocks/>
        </xdr:cNvSpPr>
      </xdr:nvSpPr>
      <xdr:spPr>
        <a:xfrm>
          <a:off x="6381750" y="47529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26</xdr:row>
      <xdr:rowOff>0</xdr:rowOff>
    </xdr:from>
    <xdr:to>
      <xdr:col>13</xdr:col>
      <xdr:colOff>9525</xdr:colOff>
      <xdr:row>30</xdr:row>
      <xdr:rowOff>19050</xdr:rowOff>
    </xdr:to>
    <xdr:sp>
      <xdr:nvSpPr>
        <xdr:cNvPr id="117" name="Line 954"/>
        <xdr:cNvSpPr>
          <a:spLocks/>
        </xdr:cNvSpPr>
      </xdr:nvSpPr>
      <xdr:spPr>
        <a:xfrm>
          <a:off x="6381750" y="495300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21</xdr:row>
      <xdr:rowOff>104775</xdr:rowOff>
    </xdr:from>
    <xdr:to>
      <xdr:col>17</xdr:col>
      <xdr:colOff>161925</xdr:colOff>
      <xdr:row>21</xdr:row>
      <xdr:rowOff>104775</xdr:rowOff>
    </xdr:to>
    <xdr:sp>
      <xdr:nvSpPr>
        <xdr:cNvPr id="118" name="Line 956"/>
        <xdr:cNvSpPr>
          <a:spLocks/>
        </xdr:cNvSpPr>
      </xdr:nvSpPr>
      <xdr:spPr>
        <a:xfrm>
          <a:off x="7105650" y="4105275"/>
          <a:ext cx="152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20</xdr:row>
      <xdr:rowOff>66675</xdr:rowOff>
    </xdr:from>
    <xdr:to>
      <xdr:col>14</xdr:col>
      <xdr:colOff>19050</xdr:colOff>
      <xdr:row>20</xdr:row>
      <xdr:rowOff>180975</xdr:rowOff>
    </xdr:to>
    <xdr:sp>
      <xdr:nvSpPr>
        <xdr:cNvPr id="119" name="Line 957"/>
        <xdr:cNvSpPr>
          <a:spLocks/>
        </xdr:cNvSpPr>
      </xdr:nvSpPr>
      <xdr:spPr>
        <a:xfrm>
          <a:off x="6572250" y="38766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20</xdr:row>
      <xdr:rowOff>114300</xdr:rowOff>
    </xdr:from>
    <xdr:to>
      <xdr:col>22</xdr:col>
      <xdr:colOff>152400</xdr:colOff>
      <xdr:row>20</xdr:row>
      <xdr:rowOff>114300</xdr:rowOff>
    </xdr:to>
    <xdr:sp>
      <xdr:nvSpPr>
        <xdr:cNvPr id="120" name="Line 959"/>
        <xdr:cNvSpPr>
          <a:spLocks/>
        </xdr:cNvSpPr>
      </xdr:nvSpPr>
      <xdr:spPr>
        <a:xfrm flipH="1">
          <a:off x="8001000" y="39243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20</xdr:row>
      <xdr:rowOff>123825</xdr:rowOff>
    </xdr:from>
    <xdr:to>
      <xdr:col>26</xdr:col>
      <xdr:colOff>19050</xdr:colOff>
      <xdr:row>20</xdr:row>
      <xdr:rowOff>123825</xdr:rowOff>
    </xdr:to>
    <xdr:sp>
      <xdr:nvSpPr>
        <xdr:cNvPr id="121" name="Line 960"/>
        <xdr:cNvSpPr>
          <a:spLocks/>
        </xdr:cNvSpPr>
      </xdr:nvSpPr>
      <xdr:spPr>
        <a:xfrm>
          <a:off x="8515350" y="39338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14</xdr:row>
      <xdr:rowOff>0</xdr:rowOff>
    </xdr:from>
    <xdr:to>
      <xdr:col>10</xdr:col>
      <xdr:colOff>19050</xdr:colOff>
      <xdr:row>14</xdr:row>
      <xdr:rowOff>161925</xdr:rowOff>
    </xdr:to>
    <xdr:sp>
      <xdr:nvSpPr>
        <xdr:cNvPr id="122" name="Line 966"/>
        <xdr:cNvSpPr>
          <a:spLocks/>
        </xdr:cNvSpPr>
      </xdr:nvSpPr>
      <xdr:spPr>
        <a:xfrm flipV="1">
          <a:off x="5848350" y="26670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15</xdr:row>
      <xdr:rowOff>180975</xdr:rowOff>
    </xdr:from>
    <xdr:to>
      <xdr:col>10</xdr:col>
      <xdr:colOff>9525</xdr:colOff>
      <xdr:row>16</xdr:row>
      <xdr:rowOff>180975</xdr:rowOff>
    </xdr:to>
    <xdr:sp>
      <xdr:nvSpPr>
        <xdr:cNvPr id="123" name="Line 967"/>
        <xdr:cNvSpPr>
          <a:spLocks/>
        </xdr:cNvSpPr>
      </xdr:nvSpPr>
      <xdr:spPr>
        <a:xfrm>
          <a:off x="5838825" y="30384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13</xdr:row>
      <xdr:rowOff>114300</xdr:rowOff>
    </xdr:from>
    <xdr:to>
      <xdr:col>9</xdr:col>
      <xdr:colOff>57150</xdr:colOff>
      <xdr:row>16</xdr:row>
      <xdr:rowOff>180975</xdr:rowOff>
    </xdr:to>
    <xdr:sp>
      <xdr:nvSpPr>
        <xdr:cNvPr id="124" name="Line 968"/>
        <xdr:cNvSpPr>
          <a:spLocks/>
        </xdr:cNvSpPr>
      </xdr:nvSpPr>
      <xdr:spPr>
        <a:xfrm>
          <a:off x="5705475" y="259080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12</xdr:row>
      <xdr:rowOff>0</xdr:rowOff>
    </xdr:from>
    <xdr:to>
      <xdr:col>9</xdr:col>
      <xdr:colOff>76200</xdr:colOff>
      <xdr:row>12</xdr:row>
      <xdr:rowOff>95250</xdr:rowOff>
    </xdr:to>
    <xdr:sp>
      <xdr:nvSpPr>
        <xdr:cNvPr id="125" name="Line 969"/>
        <xdr:cNvSpPr>
          <a:spLocks/>
        </xdr:cNvSpPr>
      </xdr:nvSpPr>
      <xdr:spPr>
        <a:xfrm flipV="1">
          <a:off x="5724525" y="228600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13</xdr:row>
      <xdr:rowOff>95250</xdr:rowOff>
    </xdr:from>
    <xdr:to>
      <xdr:col>12</xdr:col>
      <xdr:colOff>9525</xdr:colOff>
      <xdr:row>14</xdr:row>
      <xdr:rowOff>0</xdr:rowOff>
    </xdr:to>
    <xdr:sp>
      <xdr:nvSpPr>
        <xdr:cNvPr id="126" name="Line 971"/>
        <xdr:cNvSpPr>
          <a:spLocks/>
        </xdr:cNvSpPr>
      </xdr:nvSpPr>
      <xdr:spPr>
        <a:xfrm>
          <a:off x="6200775" y="2571750"/>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xdr:row>
      <xdr:rowOff>180975</xdr:rowOff>
    </xdr:from>
    <xdr:to>
      <xdr:col>13</xdr:col>
      <xdr:colOff>28575</xdr:colOff>
      <xdr:row>8</xdr:row>
      <xdr:rowOff>19050</xdr:rowOff>
    </xdr:to>
    <xdr:sp>
      <xdr:nvSpPr>
        <xdr:cNvPr id="127" name="Line 972"/>
        <xdr:cNvSpPr>
          <a:spLocks/>
        </xdr:cNvSpPr>
      </xdr:nvSpPr>
      <xdr:spPr>
        <a:xfrm flipV="1">
          <a:off x="6400800" y="371475"/>
          <a:ext cx="0"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8</xdr:row>
      <xdr:rowOff>180975</xdr:rowOff>
    </xdr:from>
    <xdr:to>
      <xdr:col>13</xdr:col>
      <xdr:colOff>19050</xdr:colOff>
      <xdr:row>14</xdr:row>
      <xdr:rowOff>0</xdr:rowOff>
    </xdr:to>
    <xdr:sp>
      <xdr:nvSpPr>
        <xdr:cNvPr id="128" name="Line 974"/>
        <xdr:cNvSpPr>
          <a:spLocks/>
        </xdr:cNvSpPr>
      </xdr:nvSpPr>
      <xdr:spPr>
        <a:xfrm>
          <a:off x="6391275" y="17049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xdr:row>
      <xdr:rowOff>0</xdr:rowOff>
    </xdr:from>
    <xdr:to>
      <xdr:col>9</xdr:col>
      <xdr:colOff>66675</xdr:colOff>
      <xdr:row>8</xdr:row>
      <xdr:rowOff>28575</xdr:rowOff>
    </xdr:to>
    <xdr:sp>
      <xdr:nvSpPr>
        <xdr:cNvPr id="129" name="Line 975"/>
        <xdr:cNvSpPr>
          <a:spLocks/>
        </xdr:cNvSpPr>
      </xdr:nvSpPr>
      <xdr:spPr>
        <a:xfrm flipV="1">
          <a:off x="5715000" y="381000"/>
          <a:ext cx="0"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8</xdr:row>
      <xdr:rowOff>180975</xdr:rowOff>
    </xdr:from>
    <xdr:to>
      <xdr:col>9</xdr:col>
      <xdr:colOff>76200</xdr:colOff>
      <xdr:row>12</xdr:row>
      <xdr:rowOff>0</xdr:rowOff>
    </xdr:to>
    <xdr:sp>
      <xdr:nvSpPr>
        <xdr:cNvPr id="130" name="Line 976"/>
        <xdr:cNvSpPr>
          <a:spLocks/>
        </xdr:cNvSpPr>
      </xdr:nvSpPr>
      <xdr:spPr>
        <a:xfrm>
          <a:off x="5724525" y="170497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6</xdr:row>
      <xdr:rowOff>95250</xdr:rowOff>
    </xdr:from>
    <xdr:to>
      <xdr:col>19</xdr:col>
      <xdr:colOff>133350</xdr:colOff>
      <xdr:row>6</xdr:row>
      <xdr:rowOff>95250</xdr:rowOff>
    </xdr:to>
    <xdr:sp>
      <xdr:nvSpPr>
        <xdr:cNvPr id="131" name="Line 977"/>
        <xdr:cNvSpPr>
          <a:spLocks/>
        </xdr:cNvSpPr>
      </xdr:nvSpPr>
      <xdr:spPr>
        <a:xfrm>
          <a:off x="6400800" y="12382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16</xdr:row>
      <xdr:rowOff>66675</xdr:rowOff>
    </xdr:from>
    <xdr:to>
      <xdr:col>20</xdr:col>
      <xdr:colOff>47625</xdr:colOff>
      <xdr:row>16</xdr:row>
      <xdr:rowOff>114300</xdr:rowOff>
    </xdr:to>
    <xdr:sp>
      <xdr:nvSpPr>
        <xdr:cNvPr id="132" name="Arc 995"/>
        <xdr:cNvSpPr>
          <a:spLocks/>
        </xdr:cNvSpPr>
      </xdr:nvSpPr>
      <xdr:spPr>
        <a:xfrm>
          <a:off x="7648575" y="31146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17</xdr:row>
      <xdr:rowOff>114300</xdr:rowOff>
    </xdr:from>
    <xdr:to>
      <xdr:col>16</xdr:col>
      <xdr:colOff>0</xdr:colOff>
      <xdr:row>17</xdr:row>
      <xdr:rowOff>114300</xdr:rowOff>
    </xdr:to>
    <xdr:sp>
      <xdr:nvSpPr>
        <xdr:cNvPr id="133" name="Line 998"/>
        <xdr:cNvSpPr>
          <a:spLocks/>
        </xdr:cNvSpPr>
      </xdr:nvSpPr>
      <xdr:spPr>
        <a:xfrm>
          <a:off x="6381750" y="33528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11</xdr:row>
      <xdr:rowOff>95250</xdr:rowOff>
    </xdr:from>
    <xdr:to>
      <xdr:col>21</xdr:col>
      <xdr:colOff>76200</xdr:colOff>
      <xdr:row>11</xdr:row>
      <xdr:rowOff>142875</xdr:rowOff>
    </xdr:to>
    <xdr:sp>
      <xdr:nvSpPr>
        <xdr:cNvPr id="134" name="Arc 1006"/>
        <xdr:cNvSpPr>
          <a:spLocks/>
        </xdr:cNvSpPr>
      </xdr:nvSpPr>
      <xdr:spPr>
        <a:xfrm>
          <a:off x="7858125" y="21907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16</xdr:row>
      <xdr:rowOff>76200</xdr:rowOff>
    </xdr:from>
    <xdr:to>
      <xdr:col>17</xdr:col>
      <xdr:colOff>76200</xdr:colOff>
      <xdr:row>16</xdr:row>
      <xdr:rowOff>123825</xdr:rowOff>
    </xdr:to>
    <xdr:sp>
      <xdr:nvSpPr>
        <xdr:cNvPr id="135" name="Arc 1007"/>
        <xdr:cNvSpPr>
          <a:spLocks/>
        </xdr:cNvSpPr>
      </xdr:nvSpPr>
      <xdr:spPr>
        <a:xfrm>
          <a:off x="7134225" y="31242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161925</xdr:colOff>
      <xdr:row>17</xdr:row>
      <xdr:rowOff>0</xdr:rowOff>
    </xdr:from>
    <xdr:to>
      <xdr:col>42</xdr:col>
      <xdr:colOff>9525</xdr:colOff>
      <xdr:row>17</xdr:row>
      <xdr:rowOff>47625</xdr:rowOff>
    </xdr:to>
    <xdr:sp>
      <xdr:nvSpPr>
        <xdr:cNvPr id="136" name="Arc 0"/>
        <xdr:cNvSpPr>
          <a:spLocks/>
        </xdr:cNvSpPr>
      </xdr:nvSpPr>
      <xdr:spPr>
        <a:xfrm>
          <a:off x="11658600" y="32385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16</xdr:row>
      <xdr:rowOff>66675</xdr:rowOff>
    </xdr:from>
    <xdr:to>
      <xdr:col>18</xdr:col>
      <xdr:colOff>161925</xdr:colOff>
      <xdr:row>16</xdr:row>
      <xdr:rowOff>114300</xdr:rowOff>
    </xdr:to>
    <xdr:sp>
      <xdr:nvSpPr>
        <xdr:cNvPr id="137" name="Arc 1"/>
        <xdr:cNvSpPr>
          <a:spLocks/>
        </xdr:cNvSpPr>
      </xdr:nvSpPr>
      <xdr:spPr>
        <a:xfrm>
          <a:off x="7400925" y="31146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114300</xdr:rowOff>
    </xdr:from>
    <xdr:to>
      <xdr:col>21</xdr:col>
      <xdr:colOff>66675</xdr:colOff>
      <xdr:row>8</xdr:row>
      <xdr:rowOff>161925</xdr:rowOff>
    </xdr:to>
    <xdr:sp>
      <xdr:nvSpPr>
        <xdr:cNvPr id="138" name="Arc 10"/>
        <xdr:cNvSpPr>
          <a:spLocks/>
        </xdr:cNvSpPr>
      </xdr:nvSpPr>
      <xdr:spPr>
        <a:xfrm>
          <a:off x="7848600" y="16383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20</xdr:row>
      <xdr:rowOff>38100</xdr:rowOff>
    </xdr:from>
    <xdr:to>
      <xdr:col>26</xdr:col>
      <xdr:colOff>9525</xdr:colOff>
      <xdr:row>21</xdr:row>
      <xdr:rowOff>0</xdr:rowOff>
    </xdr:to>
    <xdr:sp>
      <xdr:nvSpPr>
        <xdr:cNvPr id="139" name="Line 41"/>
        <xdr:cNvSpPr>
          <a:spLocks/>
        </xdr:cNvSpPr>
      </xdr:nvSpPr>
      <xdr:spPr>
        <a:xfrm>
          <a:off x="8734425" y="3848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85</xdr:col>
      <xdr:colOff>66675</xdr:colOff>
      <xdr:row>1</xdr:row>
      <xdr:rowOff>180975</xdr:rowOff>
    </xdr:from>
    <xdr:to>
      <xdr:col>88</xdr:col>
      <xdr:colOff>466725</xdr:colOff>
      <xdr:row>20</xdr:row>
      <xdr:rowOff>38100</xdr:rowOff>
    </xdr:to>
    <xdr:pic>
      <xdr:nvPicPr>
        <xdr:cNvPr id="140" name="Picture 48"/>
        <xdr:cNvPicPr preferRelativeResize="1">
          <a:picLocks noChangeAspect="1"/>
        </xdr:cNvPicPr>
      </xdr:nvPicPr>
      <xdr:blipFill>
        <a:blip r:embed="rId1"/>
        <a:stretch>
          <a:fillRect/>
        </a:stretch>
      </xdr:blipFill>
      <xdr:spPr>
        <a:xfrm>
          <a:off x="25812750" y="371475"/>
          <a:ext cx="2228850" cy="3476625"/>
        </a:xfrm>
        <a:prstGeom prst="rect">
          <a:avLst/>
        </a:prstGeom>
        <a:noFill/>
        <a:ln w="9525" cmpd="sng">
          <a:noFill/>
        </a:ln>
      </xdr:spPr>
    </xdr:pic>
    <xdr:clientData/>
  </xdr:twoCellAnchor>
  <xdr:twoCellAnchor>
    <xdr:from>
      <xdr:col>14</xdr:col>
      <xdr:colOff>57150</xdr:colOff>
      <xdr:row>16</xdr:row>
      <xdr:rowOff>47625</xdr:rowOff>
    </xdr:from>
    <xdr:to>
      <xdr:col>14</xdr:col>
      <xdr:colOff>57150</xdr:colOff>
      <xdr:row>16</xdr:row>
      <xdr:rowOff>123825</xdr:rowOff>
    </xdr:to>
    <xdr:sp>
      <xdr:nvSpPr>
        <xdr:cNvPr id="141" name="Line 51"/>
        <xdr:cNvSpPr>
          <a:spLocks/>
        </xdr:cNvSpPr>
      </xdr:nvSpPr>
      <xdr:spPr>
        <a:xfrm flipV="1">
          <a:off x="6610350" y="30956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123825</xdr:rowOff>
    </xdr:from>
    <xdr:to>
      <xdr:col>16</xdr:col>
      <xdr:colOff>0</xdr:colOff>
      <xdr:row>17</xdr:row>
      <xdr:rowOff>104775</xdr:rowOff>
    </xdr:to>
    <xdr:sp>
      <xdr:nvSpPr>
        <xdr:cNvPr id="142" name="Line 52"/>
        <xdr:cNvSpPr>
          <a:spLocks/>
        </xdr:cNvSpPr>
      </xdr:nvSpPr>
      <xdr:spPr>
        <a:xfrm flipV="1">
          <a:off x="6915150" y="31718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2</xdr:row>
      <xdr:rowOff>57150</xdr:rowOff>
    </xdr:from>
    <xdr:to>
      <xdr:col>21</xdr:col>
      <xdr:colOff>28575</xdr:colOff>
      <xdr:row>2</xdr:row>
      <xdr:rowOff>57150</xdr:rowOff>
    </xdr:to>
    <xdr:sp>
      <xdr:nvSpPr>
        <xdr:cNvPr id="143" name="Line 54"/>
        <xdr:cNvSpPr>
          <a:spLocks/>
        </xdr:cNvSpPr>
      </xdr:nvSpPr>
      <xdr:spPr>
        <a:xfrm>
          <a:off x="7553325" y="4381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xdr:row>
      <xdr:rowOff>85725</xdr:rowOff>
    </xdr:from>
    <xdr:to>
      <xdr:col>21</xdr:col>
      <xdr:colOff>38100</xdr:colOff>
      <xdr:row>5</xdr:row>
      <xdr:rowOff>142875</xdr:rowOff>
    </xdr:to>
    <xdr:sp>
      <xdr:nvSpPr>
        <xdr:cNvPr id="144" name="Arc 55"/>
        <xdr:cNvSpPr>
          <a:spLocks/>
        </xdr:cNvSpPr>
      </xdr:nvSpPr>
      <xdr:spPr>
        <a:xfrm>
          <a:off x="7820025" y="1038225"/>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10</xdr:row>
      <xdr:rowOff>28575</xdr:rowOff>
    </xdr:from>
    <xdr:to>
      <xdr:col>21</xdr:col>
      <xdr:colOff>76200</xdr:colOff>
      <xdr:row>10</xdr:row>
      <xdr:rowOff>85725</xdr:rowOff>
    </xdr:to>
    <xdr:sp>
      <xdr:nvSpPr>
        <xdr:cNvPr id="145" name="Arc 56"/>
        <xdr:cNvSpPr>
          <a:spLocks/>
        </xdr:cNvSpPr>
      </xdr:nvSpPr>
      <xdr:spPr>
        <a:xfrm>
          <a:off x="7858125" y="1933575"/>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12</xdr:row>
      <xdr:rowOff>180975</xdr:rowOff>
    </xdr:from>
    <xdr:to>
      <xdr:col>21</xdr:col>
      <xdr:colOff>85725</xdr:colOff>
      <xdr:row>13</xdr:row>
      <xdr:rowOff>47625</xdr:rowOff>
    </xdr:to>
    <xdr:sp>
      <xdr:nvSpPr>
        <xdr:cNvPr id="146" name="Arc 57"/>
        <xdr:cNvSpPr>
          <a:spLocks/>
        </xdr:cNvSpPr>
      </xdr:nvSpPr>
      <xdr:spPr>
        <a:xfrm>
          <a:off x="7867650" y="2466975"/>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171450</xdr:colOff>
      <xdr:row>2</xdr:row>
      <xdr:rowOff>76200</xdr:rowOff>
    </xdr:from>
    <xdr:to>
      <xdr:col>21</xdr:col>
      <xdr:colOff>28575</xdr:colOff>
      <xdr:row>2</xdr:row>
      <xdr:rowOff>133350</xdr:rowOff>
    </xdr:to>
    <xdr:sp>
      <xdr:nvSpPr>
        <xdr:cNvPr id="147" name="Arc 58"/>
        <xdr:cNvSpPr>
          <a:spLocks/>
        </xdr:cNvSpPr>
      </xdr:nvSpPr>
      <xdr:spPr>
        <a:xfrm>
          <a:off x="7810500" y="457200"/>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2</xdr:row>
      <xdr:rowOff>76200</xdr:rowOff>
    </xdr:from>
    <xdr:to>
      <xdr:col>19</xdr:col>
      <xdr:colOff>142875</xdr:colOff>
      <xdr:row>2</xdr:row>
      <xdr:rowOff>133350</xdr:rowOff>
    </xdr:to>
    <xdr:sp>
      <xdr:nvSpPr>
        <xdr:cNvPr id="148" name="Arc 59"/>
        <xdr:cNvSpPr>
          <a:spLocks/>
        </xdr:cNvSpPr>
      </xdr:nvSpPr>
      <xdr:spPr>
        <a:xfrm>
          <a:off x="7562850" y="457200"/>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5</xdr:row>
      <xdr:rowOff>85725</xdr:rowOff>
    </xdr:from>
    <xdr:to>
      <xdr:col>19</xdr:col>
      <xdr:colOff>114300</xdr:colOff>
      <xdr:row>5</xdr:row>
      <xdr:rowOff>142875</xdr:rowOff>
    </xdr:to>
    <xdr:sp>
      <xdr:nvSpPr>
        <xdr:cNvPr id="149" name="Arc 60"/>
        <xdr:cNvSpPr>
          <a:spLocks/>
        </xdr:cNvSpPr>
      </xdr:nvSpPr>
      <xdr:spPr>
        <a:xfrm>
          <a:off x="7534275" y="1038225"/>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8</xdr:row>
      <xdr:rowOff>114300</xdr:rowOff>
    </xdr:from>
    <xdr:to>
      <xdr:col>19</xdr:col>
      <xdr:colOff>95250</xdr:colOff>
      <xdr:row>8</xdr:row>
      <xdr:rowOff>171450</xdr:rowOff>
    </xdr:to>
    <xdr:sp>
      <xdr:nvSpPr>
        <xdr:cNvPr id="150" name="Arc 61"/>
        <xdr:cNvSpPr>
          <a:spLocks/>
        </xdr:cNvSpPr>
      </xdr:nvSpPr>
      <xdr:spPr>
        <a:xfrm>
          <a:off x="7515225" y="1638300"/>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11</xdr:row>
      <xdr:rowOff>133350</xdr:rowOff>
    </xdr:from>
    <xdr:to>
      <xdr:col>19</xdr:col>
      <xdr:colOff>76200</xdr:colOff>
      <xdr:row>12</xdr:row>
      <xdr:rowOff>0</xdr:rowOff>
    </xdr:to>
    <xdr:sp>
      <xdr:nvSpPr>
        <xdr:cNvPr id="151" name="Arc 62"/>
        <xdr:cNvSpPr>
          <a:spLocks/>
        </xdr:cNvSpPr>
      </xdr:nvSpPr>
      <xdr:spPr>
        <a:xfrm>
          <a:off x="7496175" y="2228850"/>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20</xdr:row>
      <xdr:rowOff>114300</xdr:rowOff>
    </xdr:from>
    <xdr:to>
      <xdr:col>18</xdr:col>
      <xdr:colOff>171450</xdr:colOff>
      <xdr:row>20</xdr:row>
      <xdr:rowOff>114300</xdr:rowOff>
    </xdr:to>
    <xdr:sp>
      <xdr:nvSpPr>
        <xdr:cNvPr id="152" name="Line 64"/>
        <xdr:cNvSpPr>
          <a:spLocks/>
        </xdr:cNvSpPr>
      </xdr:nvSpPr>
      <xdr:spPr>
        <a:xfrm>
          <a:off x="7143750" y="39243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20</xdr:row>
      <xdr:rowOff>114300</xdr:rowOff>
    </xdr:from>
    <xdr:to>
      <xdr:col>14</xdr:col>
      <xdr:colOff>161925</xdr:colOff>
      <xdr:row>20</xdr:row>
      <xdr:rowOff>114300</xdr:rowOff>
    </xdr:to>
    <xdr:sp>
      <xdr:nvSpPr>
        <xdr:cNvPr id="153" name="Line 65"/>
        <xdr:cNvSpPr>
          <a:spLocks/>
        </xdr:cNvSpPr>
      </xdr:nvSpPr>
      <xdr:spPr>
        <a:xfrm flipH="1">
          <a:off x="6572250" y="39243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66675</xdr:colOff>
      <xdr:row>0</xdr:row>
      <xdr:rowOff>38100</xdr:rowOff>
    </xdr:from>
    <xdr:to>
      <xdr:col>23</xdr:col>
      <xdr:colOff>152400</xdr:colOff>
      <xdr:row>2</xdr:row>
      <xdr:rowOff>9525</xdr:rowOff>
    </xdr:to>
    <xdr:sp>
      <xdr:nvSpPr>
        <xdr:cNvPr id="154" name="Line 66"/>
        <xdr:cNvSpPr>
          <a:spLocks/>
        </xdr:cNvSpPr>
      </xdr:nvSpPr>
      <xdr:spPr>
        <a:xfrm flipV="1">
          <a:off x="7886700" y="38100"/>
          <a:ext cx="4476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2</xdr:row>
      <xdr:rowOff>9525</xdr:rowOff>
    </xdr:from>
    <xdr:to>
      <xdr:col>25</xdr:col>
      <xdr:colOff>38100</xdr:colOff>
      <xdr:row>2</xdr:row>
      <xdr:rowOff>9525</xdr:rowOff>
    </xdr:to>
    <xdr:sp>
      <xdr:nvSpPr>
        <xdr:cNvPr id="155" name="Line 67"/>
        <xdr:cNvSpPr>
          <a:spLocks/>
        </xdr:cNvSpPr>
      </xdr:nvSpPr>
      <xdr:spPr>
        <a:xfrm>
          <a:off x="7953375" y="3905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xdr:row>
      <xdr:rowOff>9525</xdr:rowOff>
    </xdr:from>
    <xdr:to>
      <xdr:col>23</xdr:col>
      <xdr:colOff>0</xdr:colOff>
      <xdr:row>2</xdr:row>
      <xdr:rowOff>0</xdr:rowOff>
    </xdr:to>
    <xdr:sp>
      <xdr:nvSpPr>
        <xdr:cNvPr id="156" name="Line 68"/>
        <xdr:cNvSpPr>
          <a:spLocks/>
        </xdr:cNvSpPr>
      </xdr:nvSpPr>
      <xdr:spPr>
        <a:xfrm>
          <a:off x="8143875" y="200025"/>
          <a:ext cx="381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152400</xdr:colOff>
      <xdr:row>13</xdr:row>
      <xdr:rowOff>142875</xdr:rowOff>
    </xdr:from>
    <xdr:to>
      <xdr:col>19</xdr:col>
      <xdr:colOff>152400</xdr:colOff>
      <xdr:row>14</xdr:row>
      <xdr:rowOff>123825</xdr:rowOff>
    </xdr:to>
    <xdr:sp>
      <xdr:nvSpPr>
        <xdr:cNvPr id="157" name="Line 69"/>
        <xdr:cNvSpPr>
          <a:spLocks/>
        </xdr:cNvSpPr>
      </xdr:nvSpPr>
      <xdr:spPr>
        <a:xfrm flipV="1">
          <a:off x="7067550" y="2619375"/>
          <a:ext cx="5429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13</xdr:row>
      <xdr:rowOff>133350</xdr:rowOff>
    </xdr:from>
    <xdr:to>
      <xdr:col>25</xdr:col>
      <xdr:colOff>114300</xdr:colOff>
      <xdr:row>15</xdr:row>
      <xdr:rowOff>95250</xdr:rowOff>
    </xdr:to>
    <xdr:sp>
      <xdr:nvSpPr>
        <xdr:cNvPr id="158" name="Line 70"/>
        <xdr:cNvSpPr>
          <a:spLocks/>
        </xdr:cNvSpPr>
      </xdr:nvSpPr>
      <xdr:spPr>
        <a:xfrm>
          <a:off x="7610475" y="2609850"/>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152400</xdr:colOff>
      <xdr:row>14</xdr:row>
      <xdr:rowOff>133350</xdr:rowOff>
    </xdr:from>
    <xdr:to>
      <xdr:col>16</xdr:col>
      <xdr:colOff>152400</xdr:colOff>
      <xdr:row>15</xdr:row>
      <xdr:rowOff>66675</xdr:rowOff>
    </xdr:to>
    <xdr:sp>
      <xdr:nvSpPr>
        <xdr:cNvPr id="159" name="Line 73"/>
        <xdr:cNvSpPr>
          <a:spLocks/>
        </xdr:cNvSpPr>
      </xdr:nvSpPr>
      <xdr:spPr>
        <a:xfrm>
          <a:off x="7067550" y="28003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114300</xdr:colOff>
      <xdr:row>15</xdr:row>
      <xdr:rowOff>95250</xdr:rowOff>
    </xdr:from>
    <xdr:to>
      <xdr:col>25</xdr:col>
      <xdr:colOff>114300</xdr:colOff>
      <xdr:row>16</xdr:row>
      <xdr:rowOff>9525</xdr:rowOff>
    </xdr:to>
    <xdr:sp>
      <xdr:nvSpPr>
        <xdr:cNvPr id="160" name="Line 74"/>
        <xdr:cNvSpPr>
          <a:spLocks/>
        </xdr:cNvSpPr>
      </xdr:nvSpPr>
      <xdr:spPr>
        <a:xfrm>
          <a:off x="8658225" y="29527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13</xdr:row>
      <xdr:rowOff>180975</xdr:rowOff>
    </xdr:from>
    <xdr:to>
      <xdr:col>19</xdr:col>
      <xdr:colOff>95250</xdr:colOff>
      <xdr:row>14</xdr:row>
      <xdr:rowOff>38100</xdr:rowOff>
    </xdr:to>
    <xdr:sp>
      <xdr:nvSpPr>
        <xdr:cNvPr id="161" name="Arc 75"/>
        <xdr:cNvSpPr>
          <a:spLocks/>
        </xdr:cNvSpPr>
      </xdr:nvSpPr>
      <xdr:spPr>
        <a:xfrm>
          <a:off x="7515225" y="26574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28575</xdr:rowOff>
    </xdr:from>
    <xdr:to>
      <xdr:col>24</xdr:col>
      <xdr:colOff>38100</xdr:colOff>
      <xdr:row>15</xdr:row>
      <xdr:rowOff>76200</xdr:rowOff>
    </xdr:to>
    <xdr:sp>
      <xdr:nvSpPr>
        <xdr:cNvPr id="162" name="Arc 76"/>
        <xdr:cNvSpPr>
          <a:spLocks/>
        </xdr:cNvSpPr>
      </xdr:nvSpPr>
      <xdr:spPr>
        <a:xfrm>
          <a:off x="8362950" y="28860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95250</xdr:rowOff>
    </xdr:from>
    <xdr:to>
      <xdr:col>25</xdr:col>
      <xdr:colOff>76200</xdr:colOff>
      <xdr:row>15</xdr:row>
      <xdr:rowOff>142875</xdr:rowOff>
    </xdr:to>
    <xdr:sp>
      <xdr:nvSpPr>
        <xdr:cNvPr id="163" name="Arc 77"/>
        <xdr:cNvSpPr>
          <a:spLocks/>
        </xdr:cNvSpPr>
      </xdr:nvSpPr>
      <xdr:spPr>
        <a:xfrm>
          <a:off x="8582025" y="29527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3</xdr:row>
      <xdr:rowOff>171450</xdr:rowOff>
    </xdr:from>
    <xdr:to>
      <xdr:col>21</xdr:col>
      <xdr:colOff>38100</xdr:colOff>
      <xdr:row>4</xdr:row>
      <xdr:rowOff>28575</xdr:rowOff>
    </xdr:to>
    <xdr:sp>
      <xdr:nvSpPr>
        <xdr:cNvPr id="164" name="Arc 78"/>
        <xdr:cNvSpPr>
          <a:spLocks/>
        </xdr:cNvSpPr>
      </xdr:nvSpPr>
      <xdr:spPr>
        <a:xfrm>
          <a:off x="7820025" y="7429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2</xdr:row>
      <xdr:rowOff>57150</xdr:rowOff>
    </xdr:from>
    <xdr:to>
      <xdr:col>21</xdr:col>
      <xdr:colOff>114300</xdr:colOff>
      <xdr:row>15</xdr:row>
      <xdr:rowOff>57150</xdr:rowOff>
    </xdr:to>
    <xdr:sp>
      <xdr:nvSpPr>
        <xdr:cNvPr id="165" name="Line 80"/>
        <xdr:cNvSpPr>
          <a:spLocks/>
        </xdr:cNvSpPr>
      </xdr:nvSpPr>
      <xdr:spPr>
        <a:xfrm>
          <a:off x="7858125" y="438150"/>
          <a:ext cx="76200" cy="2476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16</xdr:row>
      <xdr:rowOff>114300</xdr:rowOff>
    </xdr:from>
    <xdr:to>
      <xdr:col>20</xdr:col>
      <xdr:colOff>142875</xdr:colOff>
      <xdr:row>16</xdr:row>
      <xdr:rowOff>133350</xdr:rowOff>
    </xdr:to>
    <xdr:sp>
      <xdr:nvSpPr>
        <xdr:cNvPr id="166" name="Line 81"/>
        <xdr:cNvSpPr>
          <a:spLocks/>
        </xdr:cNvSpPr>
      </xdr:nvSpPr>
      <xdr:spPr>
        <a:xfrm flipV="1">
          <a:off x="6600825" y="3162300"/>
          <a:ext cx="11811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114300</xdr:colOff>
      <xdr:row>15</xdr:row>
      <xdr:rowOff>76200</xdr:rowOff>
    </xdr:from>
    <xdr:to>
      <xdr:col>21</xdr:col>
      <xdr:colOff>123825</xdr:colOff>
      <xdr:row>16</xdr:row>
      <xdr:rowOff>104775</xdr:rowOff>
    </xdr:to>
    <xdr:sp>
      <xdr:nvSpPr>
        <xdr:cNvPr id="167" name="Arc 82"/>
        <xdr:cNvSpPr>
          <a:spLocks/>
        </xdr:cNvSpPr>
      </xdr:nvSpPr>
      <xdr:spPr>
        <a:xfrm rot="5180866">
          <a:off x="7753350" y="2933700"/>
          <a:ext cx="190500" cy="219075"/>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16</xdr:row>
      <xdr:rowOff>76200</xdr:rowOff>
    </xdr:from>
    <xdr:to>
      <xdr:col>14</xdr:col>
      <xdr:colOff>114300</xdr:colOff>
      <xdr:row>16</xdr:row>
      <xdr:rowOff>123825</xdr:rowOff>
    </xdr:to>
    <xdr:sp>
      <xdr:nvSpPr>
        <xdr:cNvPr id="168" name="Arc 83"/>
        <xdr:cNvSpPr>
          <a:spLocks/>
        </xdr:cNvSpPr>
      </xdr:nvSpPr>
      <xdr:spPr>
        <a:xfrm>
          <a:off x="6629400" y="31242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76200</xdr:colOff>
      <xdr:row>16</xdr:row>
      <xdr:rowOff>76200</xdr:rowOff>
    </xdr:from>
    <xdr:to>
      <xdr:col>15</xdr:col>
      <xdr:colOff>114300</xdr:colOff>
      <xdr:row>16</xdr:row>
      <xdr:rowOff>123825</xdr:rowOff>
    </xdr:to>
    <xdr:sp>
      <xdr:nvSpPr>
        <xdr:cNvPr id="169" name="Arc 84"/>
        <xdr:cNvSpPr>
          <a:spLocks/>
        </xdr:cNvSpPr>
      </xdr:nvSpPr>
      <xdr:spPr>
        <a:xfrm>
          <a:off x="6810375" y="31242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180975</xdr:colOff>
      <xdr:row>19</xdr:row>
      <xdr:rowOff>66675</xdr:rowOff>
    </xdr:from>
    <xdr:to>
      <xdr:col>37</xdr:col>
      <xdr:colOff>28575</xdr:colOff>
      <xdr:row>19</xdr:row>
      <xdr:rowOff>114300</xdr:rowOff>
    </xdr:to>
    <xdr:sp>
      <xdr:nvSpPr>
        <xdr:cNvPr id="170" name="Arc 89"/>
        <xdr:cNvSpPr>
          <a:spLocks/>
        </xdr:cNvSpPr>
      </xdr:nvSpPr>
      <xdr:spPr>
        <a:xfrm>
          <a:off x="10725150" y="36861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142875</xdr:colOff>
      <xdr:row>20</xdr:row>
      <xdr:rowOff>28575</xdr:rowOff>
    </xdr:from>
    <xdr:to>
      <xdr:col>37</xdr:col>
      <xdr:colOff>180975</xdr:colOff>
      <xdr:row>20</xdr:row>
      <xdr:rowOff>76200</xdr:rowOff>
    </xdr:to>
    <xdr:sp>
      <xdr:nvSpPr>
        <xdr:cNvPr id="171" name="Arc 90"/>
        <xdr:cNvSpPr>
          <a:spLocks/>
        </xdr:cNvSpPr>
      </xdr:nvSpPr>
      <xdr:spPr>
        <a:xfrm>
          <a:off x="10877550" y="38385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14</xdr:row>
      <xdr:rowOff>123825</xdr:rowOff>
    </xdr:from>
    <xdr:to>
      <xdr:col>22</xdr:col>
      <xdr:colOff>142875</xdr:colOff>
      <xdr:row>14</xdr:row>
      <xdr:rowOff>171450</xdr:rowOff>
    </xdr:to>
    <xdr:sp>
      <xdr:nvSpPr>
        <xdr:cNvPr id="172" name="Arc 92"/>
        <xdr:cNvSpPr>
          <a:spLocks/>
        </xdr:cNvSpPr>
      </xdr:nvSpPr>
      <xdr:spPr>
        <a:xfrm>
          <a:off x="8105775" y="27908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66675</xdr:colOff>
      <xdr:row>17</xdr:row>
      <xdr:rowOff>142875</xdr:rowOff>
    </xdr:from>
    <xdr:to>
      <xdr:col>35</xdr:col>
      <xdr:colOff>104775</xdr:colOff>
      <xdr:row>18</xdr:row>
      <xdr:rowOff>0</xdr:rowOff>
    </xdr:to>
    <xdr:sp>
      <xdr:nvSpPr>
        <xdr:cNvPr id="173" name="Arc 95"/>
        <xdr:cNvSpPr>
          <a:spLocks/>
        </xdr:cNvSpPr>
      </xdr:nvSpPr>
      <xdr:spPr>
        <a:xfrm>
          <a:off x="10420350" y="33813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8</xdr:row>
      <xdr:rowOff>66675</xdr:rowOff>
    </xdr:from>
    <xdr:to>
      <xdr:col>32</xdr:col>
      <xdr:colOff>9525</xdr:colOff>
      <xdr:row>8</xdr:row>
      <xdr:rowOff>114300</xdr:rowOff>
    </xdr:to>
    <xdr:sp>
      <xdr:nvSpPr>
        <xdr:cNvPr id="174" name="Arc 96"/>
        <xdr:cNvSpPr>
          <a:spLocks/>
        </xdr:cNvSpPr>
      </xdr:nvSpPr>
      <xdr:spPr>
        <a:xfrm>
          <a:off x="9782175" y="15906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xdr:colOff>
      <xdr:row>7</xdr:row>
      <xdr:rowOff>0</xdr:rowOff>
    </xdr:from>
    <xdr:to>
      <xdr:col>21</xdr:col>
      <xdr:colOff>57150</xdr:colOff>
      <xdr:row>7</xdr:row>
      <xdr:rowOff>47625</xdr:rowOff>
    </xdr:to>
    <xdr:sp>
      <xdr:nvSpPr>
        <xdr:cNvPr id="175" name="Arc 97"/>
        <xdr:cNvSpPr>
          <a:spLocks/>
        </xdr:cNvSpPr>
      </xdr:nvSpPr>
      <xdr:spPr>
        <a:xfrm>
          <a:off x="7839075" y="13335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161925</xdr:colOff>
      <xdr:row>20</xdr:row>
      <xdr:rowOff>114300</xdr:rowOff>
    </xdr:from>
    <xdr:to>
      <xdr:col>19</xdr:col>
      <xdr:colOff>104775</xdr:colOff>
      <xdr:row>20</xdr:row>
      <xdr:rowOff>114300</xdr:rowOff>
    </xdr:to>
    <xdr:sp>
      <xdr:nvSpPr>
        <xdr:cNvPr id="176" name="Line 98"/>
        <xdr:cNvSpPr>
          <a:spLocks/>
        </xdr:cNvSpPr>
      </xdr:nvSpPr>
      <xdr:spPr>
        <a:xfrm flipH="1">
          <a:off x="7439025" y="392430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3</xdr:row>
      <xdr:rowOff>38100</xdr:rowOff>
    </xdr:from>
    <xdr:to>
      <xdr:col>26</xdr:col>
      <xdr:colOff>47625</xdr:colOff>
      <xdr:row>3</xdr:row>
      <xdr:rowOff>38100</xdr:rowOff>
    </xdr:to>
    <xdr:sp>
      <xdr:nvSpPr>
        <xdr:cNvPr id="177" name="Line 99"/>
        <xdr:cNvSpPr>
          <a:spLocks/>
        </xdr:cNvSpPr>
      </xdr:nvSpPr>
      <xdr:spPr>
        <a:xfrm flipH="1">
          <a:off x="7858125" y="609600"/>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3</xdr:row>
      <xdr:rowOff>95250</xdr:rowOff>
    </xdr:from>
    <xdr:to>
      <xdr:col>19</xdr:col>
      <xdr:colOff>76200</xdr:colOff>
      <xdr:row>3</xdr:row>
      <xdr:rowOff>95250</xdr:rowOff>
    </xdr:to>
    <xdr:sp>
      <xdr:nvSpPr>
        <xdr:cNvPr id="178" name="Line 100"/>
        <xdr:cNvSpPr>
          <a:spLocks/>
        </xdr:cNvSpPr>
      </xdr:nvSpPr>
      <xdr:spPr>
        <a:xfrm>
          <a:off x="6543675" y="666750"/>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6</xdr:row>
      <xdr:rowOff>95250</xdr:rowOff>
    </xdr:from>
    <xdr:to>
      <xdr:col>20</xdr:col>
      <xdr:colOff>66675</xdr:colOff>
      <xdr:row>6</xdr:row>
      <xdr:rowOff>95250</xdr:rowOff>
    </xdr:to>
    <xdr:sp>
      <xdr:nvSpPr>
        <xdr:cNvPr id="179" name="Line 101"/>
        <xdr:cNvSpPr>
          <a:spLocks/>
        </xdr:cNvSpPr>
      </xdr:nvSpPr>
      <xdr:spPr>
        <a:xfrm>
          <a:off x="6515100" y="12382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5</xdr:row>
      <xdr:rowOff>123825</xdr:rowOff>
    </xdr:from>
    <xdr:to>
      <xdr:col>20</xdr:col>
      <xdr:colOff>57150</xdr:colOff>
      <xdr:row>5</xdr:row>
      <xdr:rowOff>123825</xdr:rowOff>
    </xdr:to>
    <xdr:sp>
      <xdr:nvSpPr>
        <xdr:cNvPr id="180" name="Line 102"/>
        <xdr:cNvSpPr>
          <a:spLocks/>
        </xdr:cNvSpPr>
      </xdr:nvSpPr>
      <xdr:spPr>
        <a:xfrm flipH="1">
          <a:off x="7562850" y="107632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5</xdr:row>
      <xdr:rowOff>123825</xdr:rowOff>
    </xdr:from>
    <xdr:to>
      <xdr:col>20</xdr:col>
      <xdr:colOff>57150</xdr:colOff>
      <xdr:row>6</xdr:row>
      <xdr:rowOff>95250</xdr:rowOff>
    </xdr:to>
    <xdr:sp>
      <xdr:nvSpPr>
        <xdr:cNvPr id="181" name="Line 104"/>
        <xdr:cNvSpPr>
          <a:spLocks/>
        </xdr:cNvSpPr>
      </xdr:nvSpPr>
      <xdr:spPr>
        <a:xfrm>
          <a:off x="7696200" y="1076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9</xdr:row>
      <xdr:rowOff>0</xdr:rowOff>
    </xdr:from>
    <xdr:to>
      <xdr:col>26</xdr:col>
      <xdr:colOff>152400</xdr:colOff>
      <xdr:row>9</xdr:row>
      <xdr:rowOff>9525</xdr:rowOff>
    </xdr:to>
    <xdr:sp>
      <xdr:nvSpPr>
        <xdr:cNvPr id="182" name="Line 105"/>
        <xdr:cNvSpPr>
          <a:spLocks/>
        </xdr:cNvSpPr>
      </xdr:nvSpPr>
      <xdr:spPr>
        <a:xfrm flipH="1">
          <a:off x="7896225" y="1714500"/>
          <a:ext cx="9810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13</xdr:row>
      <xdr:rowOff>104775</xdr:rowOff>
    </xdr:from>
    <xdr:to>
      <xdr:col>24</xdr:col>
      <xdr:colOff>95250</xdr:colOff>
      <xdr:row>15</xdr:row>
      <xdr:rowOff>38100</xdr:rowOff>
    </xdr:to>
    <xdr:sp>
      <xdr:nvSpPr>
        <xdr:cNvPr id="183" name="Line 108"/>
        <xdr:cNvSpPr>
          <a:spLocks/>
        </xdr:cNvSpPr>
      </xdr:nvSpPr>
      <xdr:spPr>
        <a:xfrm flipH="1">
          <a:off x="8448675" y="25812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12</xdr:row>
      <xdr:rowOff>28575</xdr:rowOff>
    </xdr:from>
    <xdr:to>
      <xdr:col>26</xdr:col>
      <xdr:colOff>133350</xdr:colOff>
      <xdr:row>12</xdr:row>
      <xdr:rowOff>28575</xdr:rowOff>
    </xdr:to>
    <xdr:sp>
      <xdr:nvSpPr>
        <xdr:cNvPr id="184" name="Line 110"/>
        <xdr:cNvSpPr>
          <a:spLocks/>
        </xdr:cNvSpPr>
      </xdr:nvSpPr>
      <xdr:spPr>
        <a:xfrm flipH="1">
          <a:off x="7905750" y="231457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17</xdr:row>
      <xdr:rowOff>114300</xdr:rowOff>
    </xdr:from>
    <xdr:to>
      <xdr:col>16</xdr:col>
      <xdr:colOff>0</xdr:colOff>
      <xdr:row>17</xdr:row>
      <xdr:rowOff>114300</xdr:rowOff>
    </xdr:to>
    <xdr:sp>
      <xdr:nvSpPr>
        <xdr:cNvPr id="185" name="Line 111"/>
        <xdr:cNvSpPr>
          <a:spLocks/>
        </xdr:cNvSpPr>
      </xdr:nvSpPr>
      <xdr:spPr>
        <a:xfrm>
          <a:off x="6410325" y="33528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15</xdr:row>
      <xdr:rowOff>0</xdr:rowOff>
    </xdr:from>
    <xdr:to>
      <xdr:col>28</xdr:col>
      <xdr:colOff>9525</xdr:colOff>
      <xdr:row>15</xdr:row>
      <xdr:rowOff>114300</xdr:rowOff>
    </xdr:to>
    <xdr:sp>
      <xdr:nvSpPr>
        <xdr:cNvPr id="186" name="Line 113"/>
        <xdr:cNvSpPr>
          <a:spLocks/>
        </xdr:cNvSpPr>
      </xdr:nvSpPr>
      <xdr:spPr>
        <a:xfrm flipV="1">
          <a:off x="9096375" y="28575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xdr:row>
      <xdr:rowOff>114300</xdr:rowOff>
    </xdr:from>
    <xdr:to>
      <xdr:col>26</xdr:col>
      <xdr:colOff>76200</xdr:colOff>
      <xdr:row>5</xdr:row>
      <xdr:rowOff>114300</xdr:rowOff>
    </xdr:to>
    <xdr:sp>
      <xdr:nvSpPr>
        <xdr:cNvPr id="187" name="Line 114"/>
        <xdr:cNvSpPr>
          <a:spLocks/>
        </xdr:cNvSpPr>
      </xdr:nvSpPr>
      <xdr:spPr>
        <a:xfrm flipH="1">
          <a:off x="7829550" y="1066800"/>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19050</xdr:colOff>
      <xdr:row>15</xdr:row>
      <xdr:rowOff>76200</xdr:rowOff>
    </xdr:from>
    <xdr:to>
      <xdr:col>24</xdr:col>
      <xdr:colOff>114300</xdr:colOff>
      <xdr:row>17</xdr:row>
      <xdr:rowOff>95250</xdr:rowOff>
    </xdr:to>
    <xdr:sp>
      <xdr:nvSpPr>
        <xdr:cNvPr id="188" name="Line 116"/>
        <xdr:cNvSpPr>
          <a:spLocks/>
        </xdr:cNvSpPr>
      </xdr:nvSpPr>
      <xdr:spPr>
        <a:xfrm flipH="1" flipV="1">
          <a:off x="8382000" y="2933700"/>
          <a:ext cx="952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15</xdr:row>
      <xdr:rowOff>142875</xdr:rowOff>
    </xdr:from>
    <xdr:to>
      <xdr:col>25</xdr:col>
      <xdr:colOff>47625</xdr:colOff>
      <xdr:row>17</xdr:row>
      <xdr:rowOff>104775</xdr:rowOff>
    </xdr:to>
    <xdr:sp>
      <xdr:nvSpPr>
        <xdr:cNvPr id="189" name="Line 117"/>
        <xdr:cNvSpPr>
          <a:spLocks/>
        </xdr:cNvSpPr>
      </xdr:nvSpPr>
      <xdr:spPr>
        <a:xfrm flipV="1">
          <a:off x="8486775" y="3000375"/>
          <a:ext cx="1047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21</xdr:row>
      <xdr:rowOff>114300</xdr:rowOff>
    </xdr:from>
    <xdr:to>
      <xdr:col>26</xdr:col>
      <xdr:colOff>57150</xdr:colOff>
      <xdr:row>21</xdr:row>
      <xdr:rowOff>114300</xdr:rowOff>
    </xdr:to>
    <xdr:sp>
      <xdr:nvSpPr>
        <xdr:cNvPr id="190" name="Line 118"/>
        <xdr:cNvSpPr>
          <a:spLocks/>
        </xdr:cNvSpPr>
      </xdr:nvSpPr>
      <xdr:spPr>
        <a:xfrm flipH="1">
          <a:off x="8582025" y="4114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17</xdr:row>
      <xdr:rowOff>95250</xdr:rowOff>
    </xdr:from>
    <xdr:to>
      <xdr:col>24</xdr:col>
      <xdr:colOff>123825</xdr:colOff>
      <xdr:row>18</xdr:row>
      <xdr:rowOff>152400</xdr:rowOff>
    </xdr:to>
    <xdr:sp>
      <xdr:nvSpPr>
        <xdr:cNvPr id="191" name="Line 119"/>
        <xdr:cNvSpPr>
          <a:spLocks/>
        </xdr:cNvSpPr>
      </xdr:nvSpPr>
      <xdr:spPr>
        <a:xfrm>
          <a:off x="8486775" y="33337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123825</xdr:colOff>
      <xdr:row>18</xdr:row>
      <xdr:rowOff>152400</xdr:rowOff>
    </xdr:from>
    <xdr:to>
      <xdr:col>25</xdr:col>
      <xdr:colOff>38100</xdr:colOff>
      <xdr:row>18</xdr:row>
      <xdr:rowOff>152400</xdr:rowOff>
    </xdr:to>
    <xdr:sp>
      <xdr:nvSpPr>
        <xdr:cNvPr id="192" name="Line 120"/>
        <xdr:cNvSpPr>
          <a:spLocks/>
        </xdr:cNvSpPr>
      </xdr:nvSpPr>
      <xdr:spPr>
        <a:xfrm>
          <a:off x="8486775" y="3581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18</xdr:row>
      <xdr:rowOff>142875</xdr:rowOff>
    </xdr:from>
    <xdr:to>
      <xdr:col>25</xdr:col>
      <xdr:colOff>38100</xdr:colOff>
      <xdr:row>21</xdr:row>
      <xdr:rowOff>114300</xdr:rowOff>
    </xdr:to>
    <xdr:sp>
      <xdr:nvSpPr>
        <xdr:cNvPr id="193" name="Line 121"/>
        <xdr:cNvSpPr>
          <a:spLocks/>
        </xdr:cNvSpPr>
      </xdr:nvSpPr>
      <xdr:spPr>
        <a:xfrm flipV="1">
          <a:off x="8582025" y="35718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10</xdr:row>
      <xdr:rowOff>0</xdr:rowOff>
    </xdr:from>
    <xdr:to>
      <xdr:col>15</xdr:col>
      <xdr:colOff>95250</xdr:colOff>
      <xdr:row>16</xdr:row>
      <xdr:rowOff>85725</xdr:rowOff>
    </xdr:to>
    <xdr:sp>
      <xdr:nvSpPr>
        <xdr:cNvPr id="194" name="Line 122"/>
        <xdr:cNvSpPr>
          <a:spLocks/>
        </xdr:cNvSpPr>
      </xdr:nvSpPr>
      <xdr:spPr>
        <a:xfrm>
          <a:off x="6829425" y="1905000"/>
          <a:ext cx="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10</xdr:row>
      <xdr:rowOff>0</xdr:rowOff>
    </xdr:from>
    <xdr:to>
      <xdr:col>15</xdr:col>
      <xdr:colOff>95250</xdr:colOff>
      <xdr:row>10</xdr:row>
      <xdr:rowOff>0</xdr:rowOff>
    </xdr:to>
    <xdr:sp>
      <xdr:nvSpPr>
        <xdr:cNvPr id="195" name="Line 123"/>
        <xdr:cNvSpPr>
          <a:spLocks/>
        </xdr:cNvSpPr>
      </xdr:nvSpPr>
      <xdr:spPr>
        <a:xfrm flipH="1">
          <a:off x="6334125" y="1905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2</xdr:row>
      <xdr:rowOff>9525</xdr:rowOff>
    </xdr:from>
    <xdr:to>
      <xdr:col>18</xdr:col>
      <xdr:colOff>9525</xdr:colOff>
      <xdr:row>4</xdr:row>
      <xdr:rowOff>85725</xdr:rowOff>
    </xdr:to>
    <xdr:sp>
      <xdr:nvSpPr>
        <xdr:cNvPr id="196" name="Line 124"/>
        <xdr:cNvSpPr>
          <a:spLocks/>
        </xdr:cNvSpPr>
      </xdr:nvSpPr>
      <xdr:spPr>
        <a:xfrm flipV="1">
          <a:off x="7286625" y="3905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5</xdr:row>
      <xdr:rowOff>76200</xdr:rowOff>
    </xdr:from>
    <xdr:to>
      <xdr:col>18</xdr:col>
      <xdr:colOff>0</xdr:colOff>
      <xdr:row>6</xdr:row>
      <xdr:rowOff>95250</xdr:rowOff>
    </xdr:to>
    <xdr:sp>
      <xdr:nvSpPr>
        <xdr:cNvPr id="197" name="Line 125"/>
        <xdr:cNvSpPr>
          <a:spLocks/>
        </xdr:cNvSpPr>
      </xdr:nvSpPr>
      <xdr:spPr>
        <a:xfrm>
          <a:off x="7277100" y="10287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10</xdr:row>
      <xdr:rowOff>0</xdr:rowOff>
    </xdr:from>
    <xdr:to>
      <xdr:col>18</xdr:col>
      <xdr:colOff>123825</xdr:colOff>
      <xdr:row>10</xdr:row>
      <xdr:rowOff>0</xdr:rowOff>
    </xdr:to>
    <xdr:sp>
      <xdr:nvSpPr>
        <xdr:cNvPr id="198" name="Line 126"/>
        <xdr:cNvSpPr>
          <a:spLocks/>
        </xdr:cNvSpPr>
      </xdr:nvSpPr>
      <xdr:spPr>
        <a:xfrm>
          <a:off x="7000875" y="19050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26</xdr:row>
      <xdr:rowOff>0</xdr:rowOff>
    </xdr:from>
    <xdr:to>
      <xdr:col>6</xdr:col>
      <xdr:colOff>142875</xdr:colOff>
      <xdr:row>26</xdr:row>
      <xdr:rowOff>0</xdr:rowOff>
    </xdr:to>
    <xdr:sp>
      <xdr:nvSpPr>
        <xdr:cNvPr id="1" name="AutoShape 3"/>
        <xdr:cNvSpPr>
          <a:spLocks/>
        </xdr:cNvSpPr>
      </xdr:nvSpPr>
      <xdr:spPr>
        <a:xfrm>
          <a:off x="1962150" y="4829175"/>
          <a:ext cx="619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26</xdr:row>
      <xdr:rowOff>0</xdr:rowOff>
    </xdr:from>
    <xdr:to>
      <xdr:col>8</xdr:col>
      <xdr:colOff>0</xdr:colOff>
      <xdr:row>26</xdr:row>
      <xdr:rowOff>0</xdr:rowOff>
    </xdr:to>
    <xdr:sp>
      <xdr:nvSpPr>
        <xdr:cNvPr id="2" name="AutoShape 4"/>
        <xdr:cNvSpPr>
          <a:spLocks/>
        </xdr:cNvSpPr>
      </xdr:nvSpPr>
      <xdr:spPr>
        <a:xfrm>
          <a:off x="1981200" y="4829175"/>
          <a:ext cx="1047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26</xdr:row>
      <xdr:rowOff>0</xdr:rowOff>
    </xdr:from>
    <xdr:to>
      <xdr:col>16</xdr:col>
      <xdr:colOff>19050</xdr:colOff>
      <xdr:row>26</xdr:row>
      <xdr:rowOff>0</xdr:rowOff>
    </xdr:to>
    <xdr:sp>
      <xdr:nvSpPr>
        <xdr:cNvPr id="3" name="AutoShape 5"/>
        <xdr:cNvSpPr>
          <a:spLocks/>
        </xdr:cNvSpPr>
      </xdr:nvSpPr>
      <xdr:spPr>
        <a:xfrm>
          <a:off x="4324350" y="4829175"/>
          <a:ext cx="9429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99</xdr:row>
      <xdr:rowOff>38100</xdr:rowOff>
    </xdr:from>
    <xdr:to>
      <xdr:col>4</xdr:col>
      <xdr:colOff>9525</xdr:colOff>
      <xdr:row>99</xdr:row>
      <xdr:rowOff>38100</xdr:rowOff>
    </xdr:to>
    <xdr:sp>
      <xdr:nvSpPr>
        <xdr:cNvPr id="4" name="Line 24"/>
        <xdr:cNvSpPr>
          <a:spLocks/>
        </xdr:cNvSpPr>
      </xdr:nvSpPr>
      <xdr:spPr>
        <a:xfrm>
          <a:off x="1628775" y="18783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100</xdr:row>
      <xdr:rowOff>104775</xdr:rowOff>
    </xdr:from>
    <xdr:to>
      <xdr:col>3</xdr:col>
      <xdr:colOff>390525</xdr:colOff>
      <xdr:row>100</xdr:row>
      <xdr:rowOff>104775</xdr:rowOff>
    </xdr:to>
    <xdr:sp>
      <xdr:nvSpPr>
        <xdr:cNvPr id="5" name="Line 26"/>
        <xdr:cNvSpPr>
          <a:spLocks/>
        </xdr:cNvSpPr>
      </xdr:nvSpPr>
      <xdr:spPr>
        <a:xfrm>
          <a:off x="1590675" y="19011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102</xdr:row>
      <xdr:rowOff>95250</xdr:rowOff>
    </xdr:from>
    <xdr:to>
      <xdr:col>5</xdr:col>
      <xdr:colOff>257175</xdr:colOff>
      <xdr:row>102</xdr:row>
      <xdr:rowOff>95250</xdr:rowOff>
    </xdr:to>
    <xdr:sp>
      <xdr:nvSpPr>
        <xdr:cNvPr id="6" name="Line 27"/>
        <xdr:cNvSpPr>
          <a:spLocks/>
        </xdr:cNvSpPr>
      </xdr:nvSpPr>
      <xdr:spPr>
        <a:xfrm>
          <a:off x="2181225" y="19307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104</xdr:row>
      <xdr:rowOff>38100</xdr:rowOff>
    </xdr:from>
    <xdr:to>
      <xdr:col>6</xdr:col>
      <xdr:colOff>9525</xdr:colOff>
      <xdr:row>105</xdr:row>
      <xdr:rowOff>133350</xdr:rowOff>
    </xdr:to>
    <xdr:sp>
      <xdr:nvSpPr>
        <xdr:cNvPr id="7" name="AutoShape 28"/>
        <xdr:cNvSpPr>
          <a:spLocks/>
        </xdr:cNvSpPr>
      </xdr:nvSpPr>
      <xdr:spPr>
        <a:xfrm>
          <a:off x="1685925" y="19583400"/>
          <a:ext cx="7620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104</xdr:row>
      <xdr:rowOff>47625</xdr:rowOff>
    </xdr:from>
    <xdr:to>
      <xdr:col>12</xdr:col>
      <xdr:colOff>0</xdr:colOff>
      <xdr:row>105</xdr:row>
      <xdr:rowOff>142875</xdr:rowOff>
    </xdr:to>
    <xdr:sp>
      <xdr:nvSpPr>
        <xdr:cNvPr id="8" name="AutoShape 29"/>
        <xdr:cNvSpPr>
          <a:spLocks/>
        </xdr:cNvSpPr>
      </xdr:nvSpPr>
      <xdr:spPr>
        <a:xfrm>
          <a:off x="3219450" y="19592925"/>
          <a:ext cx="9525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106</xdr:row>
      <xdr:rowOff>38100</xdr:rowOff>
    </xdr:from>
    <xdr:to>
      <xdr:col>6</xdr:col>
      <xdr:colOff>9525</xdr:colOff>
      <xdr:row>107</xdr:row>
      <xdr:rowOff>133350</xdr:rowOff>
    </xdr:to>
    <xdr:sp>
      <xdr:nvSpPr>
        <xdr:cNvPr id="9" name="AutoShape 30"/>
        <xdr:cNvSpPr>
          <a:spLocks/>
        </xdr:cNvSpPr>
      </xdr:nvSpPr>
      <xdr:spPr>
        <a:xfrm>
          <a:off x="1685925" y="19916775"/>
          <a:ext cx="7620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106</xdr:row>
      <xdr:rowOff>47625</xdr:rowOff>
    </xdr:from>
    <xdr:to>
      <xdr:col>12</xdr:col>
      <xdr:colOff>0</xdr:colOff>
      <xdr:row>107</xdr:row>
      <xdr:rowOff>142875</xdr:rowOff>
    </xdr:to>
    <xdr:sp>
      <xdr:nvSpPr>
        <xdr:cNvPr id="10" name="AutoShape 31"/>
        <xdr:cNvSpPr>
          <a:spLocks/>
        </xdr:cNvSpPr>
      </xdr:nvSpPr>
      <xdr:spPr>
        <a:xfrm>
          <a:off x="3219450" y="19926300"/>
          <a:ext cx="9525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122</xdr:row>
      <xdr:rowOff>142875</xdr:rowOff>
    </xdr:from>
    <xdr:to>
      <xdr:col>2</xdr:col>
      <xdr:colOff>209550</xdr:colOff>
      <xdr:row>122</xdr:row>
      <xdr:rowOff>142875</xdr:rowOff>
    </xdr:to>
    <xdr:sp>
      <xdr:nvSpPr>
        <xdr:cNvPr id="11" name="Line 32"/>
        <xdr:cNvSpPr>
          <a:spLocks/>
        </xdr:cNvSpPr>
      </xdr:nvSpPr>
      <xdr:spPr>
        <a:xfrm>
          <a:off x="1276350" y="2277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122</xdr:row>
      <xdr:rowOff>57150</xdr:rowOff>
    </xdr:from>
    <xdr:to>
      <xdr:col>10</xdr:col>
      <xdr:colOff>0</xdr:colOff>
      <xdr:row>123</xdr:row>
      <xdr:rowOff>152400</xdr:rowOff>
    </xdr:to>
    <xdr:sp>
      <xdr:nvSpPr>
        <xdr:cNvPr id="12" name="AutoShape 33"/>
        <xdr:cNvSpPr>
          <a:spLocks/>
        </xdr:cNvSpPr>
      </xdr:nvSpPr>
      <xdr:spPr>
        <a:xfrm>
          <a:off x="1971675" y="22688550"/>
          <a:ext cx="16287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168</xdr:row>
      <xdr:rowOff>19050</xdr:rowOff>
    </xdr:from>
    <xdr:to>
      <xdr:col>10</xdr:col>
      <xdr:colOff>9525</xdr:colOff>
      <xdr:row>169</xdr:row>
      <xdr:rowOff>123825</xdr:rowOff>
    </xdr:to>
    <xdr:sp>
      <xdr:nvSpPr>
        <xdr:cNvPr id="13" name="AutoShape 40"/>
        <xdr:cNvSpPr>
          <a:spLocks/>
        </xdr:cNvSpPr>
      </xdr:nvSpPr>
      <xdr:spPr>
        <a:xfrm>
          <a:off x="1962150" y="31061025"/>
          <a:ext cx="16478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185</xdr:row>
      <xdr:rowOff>47625</xdr:rowOff>
    </xdr:from>
    <xdr:to>
      <xdr:col>10</xdr:col>
      <xdr:colOff>28575</xdr:colOff>
      <xdr:row>186</xdr:row>
      <xdr:rowOff>161925</xdr:rowOff>
    </xdr:to>
    <xdr:sp>
      <xdr:nvSpPr>
        <xdr:cNvPr id="14" name="AutoShape 44"/>
        <xdr:cNvSpPr>
          <a:spLocks/>
        </xdr:cNvSpPr>
      </xdr:nvSpPr>
      <xdr:spPr>
        <a:xfrm>
          <a:off x="2590800" y="34147125"/>
          <a:ext cx="10382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104775</xdr:colOff>
      <xdr:row>230</xdr:row>
      <xdr:rowOff>152400</xdr:rowOff>
    </xdr:from>
    <xdr:to>
      <xdr:col>25</xdr:col>
      <xdr:colOff>104775</xdr:colOff>
      <xdr:row>231</xdr:row>
      <xdr:rowOff>0</xdr:rowOff>
    </xdr:to>
    <xdr:sp>
      <xdr:nvSpPr>
        <xdr:cNvPr id="15" name="Line 52"/>
        <xdr:cNvSpPr>
          <a:spLocks/>
        </xdr:cNvSpPr>
      </xdr:nvSpPr>
      <xdr:spPr>
        <a:xfrm flipV="1">
          <a:off x="9486900" y="424338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224</xdr:row>
      <xdr:rowOff>104775</xdr:rowOff>
    </xdr:from>
    <xdr:to>
      <xdr:col>5</xdr:col>
      <xdr:colOff>285750</xdr:colOff>
      <xdr:row>225</xdr:row>
      <xdr:rowOff>57150</xdr:rowOff>
    </xdr:to>
    <xdr:grpSp>
      <xdr:nvGrpSpPr>
        <xdr:cNvPr id="16" name="Group 64"/>
        <xdr:cNvGrpSpPr>
          <a:grpSpLocks/>
        </xdr:cNvGrpSpPr>
      </xdr:nvGrpSpPr>
      <xdr:grpSpPr>
        <a:xfrm>
          <a:off x="2105025" y="41271825"/>
          <a:ext cx="180975" cy="142875"/>
          <a:chOff x="767" y="3616"/>
          <a:chExt cx="88" cy="57"/>
        </a:xfrm>
        <a:solidFill>
          <a:srgbClr val="FFFFFF"/>
        </a:solidFill>
      </xdr:grpSpPr>
      <xdr:sp>
        <xdr:nvSpPr>
          <xdr:cNvPr id="17" name="Arc 59"/>
          <xdr:cNvSpPr>
            <a:spLocks/>
          </xdr:cNvSpPr>
        </xdr:nvSpPr>
        <xdr:spPr>
          <a:xfrm rot="5760540">
            <a:off x="767" y="3624"/>
            <a:ext cx="42" cy="45"/>
          </a:xfrm>
          <a:prstGeom prst="arc">
            <a:avLst>
              <a:gd name="adj1" fmla="val -20351041"/>
              <a:gd name="adj2" fmla="val -39258370"/>
              <a:gd name="adj3" fmla="val 50000"/>
              <a:gd name="adj4" fmla="val 4199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0"/>
          <xdr:cNvSpPr>
            <a:spLocks/>
          </xdr:cNvSpPr>
        </xdr:nvSpPr>
        <xdr:spPr>
          <a:xfrm flipV="1">
            <a:off x="807" y="3629"/>
            <a:ext cx="25"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61"/>
          <xdr:cNvSpPr>
            <a:spLocks/>
          </xdr:cNvSpPr>
        </xdr:nvSpPr>
        <xdr:spPr>
          <a:xfrm>
            <a:off x="807" y="3635"/>
            <a:ext cx="2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rc 62"/>
          <xdr:cNvSpPr>
            <a:spLocks/>
          </xdr:cNvSpPr>
        </xdr:nvSpPr>
        <xdr:spPr>
          <a:xfrm rot="8100000">
            <a:off x="837" y="3651"/>
            <a:ext cx="18" cy="22"/>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rc 63"/>
          <xdr:cNvSpPr>
            <a:spLocks/>
          </xdr:cNvSpPr>
        </xdr:nvSpPr>
        <xdr:spPr>
          <a:xfrm rot="18327685">
            <a:off x="835" y="3616"/>
            <a:ext cx="17" cy="22"/>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161925</xdr:colOff>
      <xdr:row>226</xdr:row>
      <xdr:rowOff>38100</xdr:rowOff>
    </xdr:from>
    <xdr:to>
      <xdr:col>8</xdr:col>
      <xdr:colOff>9525</xdr:colOff>
      <xdr:row>227</xdr:row>
      <xdr:rowOff>133350</xdr:rowOff>
    </xdr:to>
    <xdr:sp>
      <xdr:nvSpPr>
        <xdr:cNvPr id="22" name="AutoShape 65"/>
        <xdr:cNvSpPr>
          <a:spLocks/>
        </xdr:cNvSpPr>
      </xdr:nvSpPr>
      <xdr:spPr>
        <a:xfrm>
          <a:off x="2600325" y="41557575"/>
          <a:ext cx="438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230</xdr:row>
      <xdr:rowOff>57150</xdr:rowOff>
    </xdr:from>
    <xdr:to>
      <xdr:col>16</xdr:col>
      <xdr:colOff>9525</xdr:colOff>
      <xdr:row>231</xdr:row>
      <xdr:rowOff>152400</xdr:rowOff>
    </xdr:to>
    <xdr:sp>
      <xdr:nvSpPr>
        <xdr:cNvPr id="23" name="AutoShape 66"/>
        <xdr:cNvSpPr>
          <a:spLocks/>
        </xdr:cNvSpPr>
      </xdr:nvSpPr>
      <xdr:spPr>
        <a:xfrm>
          <a:off x="4343400" y="42338625"/>
          <a:ext cx="9144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233</xdr:row>
      <xdr:rowOff>66675</xdr:rowOff>
    </xdr:from>
    <xdr:to>
      <xdr:col>12</xdr:col>
      <xdr:colOff>9525</xdr:colOff>
      <xdr:row>234</xdr:row>
      <xdr:rowOff>171450</xdr:rowOff>
    </xdr:to>
    <xdr:sp>
      <xdr:nvSpPr>
        <xdr:cNvPr id="24" name="AutoShape 67"/>
        <xdr:cNvSpPr>
          <a:spLocks/>
        </xdr:cNvSpPr>
      </xdr:nvSpPr>
      <xdr:spPr>
        <a:xfrm>
          <a:off x="2609850" y="42929175"/>
          <a:ext cx="15716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235</xdr:row>
      <xdr:rowOff>66675</xdr:rowOff>
    </xdr:from>
    <xdr:to>
      <xdr:col>11</xdr:col>
      <xdr:colOff>371475</xdr:colOff>
      <xdr:row>236</xdr:row>
      <xdr:rowOff>161925</xdr:rowOff>
    </xdr:to>
    <xdr:sp>
      <xdr:nvSpPr>
        <xdr:cNvPr id="25" name="AutoShape 68"/>
        <xdr:cNvSpPr>
          <a:spLocks/>
        </xdr:cNvSpPr>
      </xdr:nvSpPr>
      <xdr:spPr>
        <a:xfrm>
          <a:off x="2590800" y="43310175"/>
          <a:ext cx="15716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245</xdr:row>
      <xdr:rowOff>57150</xdr:rowOff>
    </xdr:from>
    <xdr:to>
      <xdr:col>8</xdr:col>
      <xdr:colOff>9525</xdr:colOff>
      <xdr:row>246</xdr:row>
      <xdr:rowOff>152400</xdr:rowOff>
    </xdr:to>
    <xdr:sp>
      <xdr:nvSpPr>
        <xdr:cNvPr id="26" name="AutoShape 70"/>
        <xdr:cNvSpPr>
          <a:spLocks/>
        </xdr:cNvSpPr>
      </xdr:nvSpPr>
      <xdr:spPr>
        <a:xfrm>
          <a:off x="2009775" y="44948475"/>
          <a:ext cx="10287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245</xdr:row>
      <xdr:rowOff>47625</xdr:rowOff>
    </xdr:from>
    <xdr:to>
      <xdr:col>18</xdr:col>
      <xdr:colOff>9525</xdr:colOff>
      <xdr:row>246</xdr:row>
      <xdr:rowOff>142875</xdr:rowOff>
    </xdr:to>
    <xdr:sp>
      <xdr:nvSpPr>
        <xdr:cNvPr id="27" name="AutoShape 71"/>
        <xdr:cNvSpPr>
          <a:spLocks/>
        </xdr:cNvSpPr>
      </xdr:nvSpPr>
      <xdr:spPr>
        <a:xfrm>
          <a:off x="4333875" y="44938950"/>
          <a:ext cx="14668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247</xdr:row>
      <xdr:rowOff>38100</xdr:rowOff>
    </xdr:from>
    <xdr:to>
      <xdr:col>11</xdr:col>
      <xdr:colOff>371475</xdr:colOff>
      <xdr:row>248</xdr:row>
      <xdr:rowOff>133350</xdr:rowOff>
    </xdr:to>
    <xdr:sp>
      <xdr:nvSpPr>
        <xdr:cNvPr id="28" name="AutoShape 72"/>
        <xdr:cNvSpPr>
          <a:spLocks/>
        </xdr:cNvSpPr>
      </xdr:nvSpPr>
      <xdr:spPr>
        <a:xfrm>
          <a:off x="2609850" y="45281850"/>
          <a:ext cx="15525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238125</xdr:colOff>
      <xdr:row>304</xdr:row>
      <xdr:rowOff>0</xdr:rowOff>
    </xdr:from>
    <xdr:to>
      <xdr:col>22</xdr:col>
      <xdr:colOff>9525</xdr:colOff>
      <xdr:row>304</xdr:row>
      <xdr:rowOff>0</xdr:rowOff>
    </xdr:to>
    <xdr:sp>
      <xdr:nvSpPr>
        <xdr:cNvPr id="29" name="Line 74"/>
        <xdr:cNvSpPr>
          <a:spLocks/>
        </xdr:cNvSpPr>
      </xdr:nvSpPr>
      <xdr:spPr>
        <a:xfrm>
          <a:off x="7353300" y="551688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298</xdr:row>
      <xdr:rowOff>38100</xdr:rowOff>
    </xdr:from>
    <xdr:to>
      <xdr:col>10</xdr:col>
      <xdr:colOff>19050</xdr:colOff>
      <xdr:row>299</xdr:row>
      <xdr:rowOff>123825</xdr:rowOff>
    </xdr:to>
    <xdr:sp>
      <xdr:nvSpPr>
        <xdr:cNvPr id="30" name="AutoShape 75"/>
        <xdr:cNvSpPr>
          <a:spLocks/>
        </xdr:cNvSpPr>
      </xdr:nvSpPr>
      <xdr:spPr>
        <a:xfrm>
          <a:off x="2571750" y="54159150"/>
          <a:ext cx="10477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305</xdr:row>
      <xdr:rowOff>47625</xdr:rowOff>
    </xdr:from>
    <xdr:to>
      <xdr:col>23</xdr:col>
      <xdr:colOff>95250</xdr:colOff>
      <xdr:row>306</xdr:row>
      <xdr:rowOff>123825</xdr:rowOff>
    </xdr:to>
    <xdr:sp>
      <xdr:nvSpPr>
        <xdr:cNvPr id="31" name="AutoShape 76"/>
        <xdr:cNvSpPr>
          <a:spLocks/>
        </xdr:cNvSpPr>
      </xdr:nvSpPr>
      <xdr:spPr>
        <a:xfrm>
          <a:off x="7248525" y="55416450"/>
          <a:ext cx="10287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533400</xdr:colOff>
      <xdr:row>304</xdr:row>
      <xdr:rowOff>0</xdr:rowOff>
    </xdr:from>
    <xdr:to>
      <xdr:col>24</xdr:col>
      <xdr:colOff>295275</xdr:colOff>
      <xdr:row>304</xdr:row>
      <xdr:rowOff>0</xdr:rowOff>
    </xdr:to>
    <xdr:sp>
      <xdr:nvSpPr>
        <xdr:cNvPr id="32" name="AutoShape 77"/>
        <xdr:cNvSpPr>
          <a:spLocks/>
        </xdr:cNvSpPr>
      </xdr:nvSpPr>
      <xdr:spPr>
        <a:xfrm>
          <a:off x="7648575" y="55168800"/>
          <a:ext cx="1409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142</xdr:row>
      <xdr:rowOff>47625</xdr:rowOff>
    </xdr:from>
    <xdr:to>
      <xdr:col>10</xdr:col>
      <xdr:colOff>28575</xdr:colOff>
      <xdr:row>143</xdr:row>
      <xdr:rowOff>161925</xdr:rowOff>
    </xdr:to>
    <xdr:sp>
      <xdr:nvSpPr>
        <xdr:cNvPr id="33" name="AutoShape 78"/>
        <xdr:cNvSpPr>
          <a:spLocks/>
        </xdr:cNvSpPr>
      </xdr:nvSpPr>
      <xdr:spPr>
        <a:xfrm>
          <a:off x="2590800" y="26279475"/>
          <a:ext cx="10382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381000</xdr:colOff>
      <xdr:row>85</xdr:row>
      <xdr:rowOff>152400</xdr:rowOff>
    </xdr:from>
    <xdr:to>
      <xdr:col>20</xdr:col>
      <xdr:colOff>514350</xdr:colOff>
      <xdr:row>88</xdr:row>
      <xdr:rowOff>123825</xdr:rowOff>
    </xdr:to>
    <xdr:grpSp>
      <xdr:nvGrpSpPr>
        <xdr:cNvPr id="34" name="Group 88"/>
        <xdr:cNvGrpSpPr>
          <a:grpSpLocks/>
        </xdr:cNvGrpSpPr>
      </xdr:nvGrpSpPr>
      <xdr:grpSpPr>
        <a:xfrm>
          <a:off x="6886575" y="16478250"/>
          <a:ext cx="133350" cy="571500"/>
          <a:chOff x="792" y="773"/>
          <a:chExt cx="14" cy="35"/>
        </a:xfrm>
        <a:solidFill>
          <a:srgbClr val="FFFFFF"/>
        </a:solidFill>
      </xdr:grpSpPr>
      <xdr:sp>
        <xdr:nvSpPr>
          <xdr:cNvPr id="35" name="Line 81"/>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82"/>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83"/>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47625</xdr:colOff>
      <xdr:row>36</xdr:row>
      <xdr:rowOff>0</xdr:rowOff>
    </xdr:from>
    <xdr:to>
      <xdr:col>7</xdr:col>
      <xdr:colOff>9525</xdr:colOff>
      <xdr:row>38</xdr:row>
      <xdr:rowOff>0</xdr:rowOff>
    </xdr:to>
    <xdr:grpSp>
      <xdr:nvGrpSpPr>
        <xdr:cNvPr id="38" name="Group 93"/>
        <xdr:cNvGrpSpPr>
          <a:grpSpLocks/>
        </xdr:cNvGrpSpPr>
      </xdr:nvGrpSpPr>
      <xdr:grpSpPr>
        <a:xfrm>
          <a:off x="2486025" y="6638925"/>
          <a:ext cx="133350" cy="361950"/>
          <a:chOff x="792" y="773"/>
          <a:chExt cx="14" cy="35"/>
        </a:xfrm>
        <a:solidFill>
          <a:srgbClr val="FFFFFF"/>
        </a:solidFill>
      </xdr:grpSpPr>
      <xdr:sp>
        <xdr:nvSpPr>
          <xdr:cNvPr id="39" name="Line 94"/>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95"/>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96"/>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57150</xdr:colOff>
      <xdr:row>58</xdr:row>
      <xdr:rowOff>28575</xdr:rowOff>
    </xdr:from>
    <xdr:to>
      <xdr:col>7</xdr:col>
      <xdr:colOff>19050</xdr:colOff>
      <xdr:row>60</xdr:row>
      <xdr:rowOff>0</xdr:rowOff>
    </xdr:to>
    <xdr:grpSp>
      <xdr:nvGrpSpPr>
        <xdr:cNvPr id="42" name="Group 97"/>
        <xdr:cNvGrpSpPr>
          <a:grpSpLocks/>
        </xdr:cNvGrpSpPr>
      </xdr:nvGrpSpPr>
      <xdr:grpSpPr>
        <a:xfrm>
          <a:off x="2495550" y="10668000"/>
          <a:ext cx="133350" cy="619125"/>
          <a:chOff x="792" y="773"/>
          <a:chExt cx="14" cy="35"/>
        </a:xfrm>
        <a:solidFill>
          <a:srgbClr val="FFFFFF"/>
        </a:solidFill>
      </xdr:grpSpPr>
      <xdr:sp>
        <xdr:nvSpPr>
          <xdr:cNvPr id="43" name="Line 98"/>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99"/>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00"/>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28575</xdr:colOff>
      <xdr:row>39</xdr:row>
      <xdr:rowOff>0</xdr:rowOff>
    </xdr:from>
    <xdr:to>
      <xdr:col>6</xdr:col>
      <xdr:colOff>161925</xdr:colOff>
      <xdr:row>41</xdr:row>
      <xdr:rowOff>0</xdr:rowOff>
    </xdr:to>
    <xdr:grpSp>
      <xdr:nvGrpSpPr>
        <xdr:cNvPr id="46" name="Group 101"/>
        <xdr:cNvGrpSpPr>
          <a:grpSpLocks/>
        </xdr:cNvGrpSpPr>
      </xdr:nvGrpSpPr>
      <xdr:grpSpPr>
        <a:xfrm>
          <a:off x="2466975" y="7162800"/>
          <a:ext cx="133350" cy="381000"/>
          <a:chOff x="792" y="773"/>
          <a:chExt cx="14" cy="35"/>
        </a:xfrm>
        <a:solidFill>
          <a:srgbClr val="FFFFFF"/>
        </a:solidFill>
      </xdr:grpSpPr>
      <xdr:sp>
        <xdr:nvSpPr>
          <xdr:cNvPr id="47" name="Line 102"/>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03"/>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04"/>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190500</xdr:colOff>
      <xdr:row>58</xdr:row>
      <xdr:rowOff>47625</xdr:rowOff>
    </xdr:from>
    <xdr:to>
      <xdr:col>5</xdr:col>
      <xdr:colOff>19050</xdr:colOff>
      <xdr:row>60</xdr:row>
      <xdr:rowOff>28575</xdr:rowOff>
    </xdr:to>
    <xdr:grpSp>
      <xdr:nvGrpSpPr>
        <xdr:cNvPr id="50" name="Group 133"/>
        <xdr:cNvGrpSpPr>
          <a:grpSpLocks/>
        </xdr:cNvGrpSpPr>
      </xdr:nvGrpSpPr>
      <xdr:grpSpPr>
        <a:xfrm>
          <a:off x="1885950" y="10687050"/>
          <a:ext cx="133350" cy="628650"/>
          <a:chOff x="792" y="773"/>
          <a:chExt cx="14" cy="35"/>
        </a:xfrm>
        <a:solidFill>
          <a:srgbClr val="FFFFFF"/>
        </a:solidFill>
      </xdr:grpSpPr>
      <xdr:sp>
        <xdr:nvSpPr>
          <xdr:cNvPr id="51" name="Line 134"/>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35"/>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36"/>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152400</xdr:colOff>
      <xdr:row>151</xdr:row>
      <xdr:rowOff>0</xdr:rowOff>
    </xdr:from>
    <xdr:to>
      <xdr:col>20</xdr:col>
      <xdr:colOff>285750</xdr:colOff>
      <xdr:row>151</xdr:row>
      <xdr:rowOff>171450</xdr:rowOff>
    </xdr:to>
    <xdr:grpSp>
      <xdr:nvGrpSpPr>
        <xdr:cNvPr id="54" name="Group 137"/>
        <xdr:cNvGrpSpPr>
          <a:grpSpLocks/>
        </xdr:cNvGrpSpPr>
      </xdr:nvGrpSpPr>
      <xdr:grpSpPr>
        <a:xfrm>
          <a:off x="6657975" y="27774900"/>
          <a:ext cx="133350" cy="171450"/>
          <a:chOff x="792" y="773"/>
          <a:chExt cx="14" cy="35"/>
        </a:xfrm>
        <a:solidFill>
          <a:srgbClr val="FFFFFF"/>
        </a:solidFill>
      </xdr:grpSpPr>
      <xdr:sp>
        <xdr:nvSpPr>
          <xdr:cNvPr id="55" name="Line 138"/>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39"/>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40"/>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125</xdr:row>
      <xdr:rowOff>0</xdr:rowOff>
    </xdr:from>
    <xdr:to>
      <xdr:col>5</xdr:col>
      <xdr:colOff>28575</xdr:colOff>
      <xdr:row>126</xdr:row>
      <xdr:rowOff>152400</xdr:rowOff>
    </xdr:to>
    <xdr:grpSp>
      <xdr:nvGrpSpPr>
        <xdr:cNvPr id="58" name="Group 141"/>
        <xdr:cNvGrpSpPr>
          <a:grpSpLocks/>
        </xdr:cNvGrpSpPr>
      </xdr:nvGrpSpPr>
      <xdr:grpSpPr>
        <a:xfrm>
          <a:off x="1895475" y="23202900"/>
          <a:ext cx="133350" cy="314325"/>
          <a:chOff x="792" y="773"/>
          <a:chExt cx="14" cy="35"/>
        </a:xfrm>
        <a:solidFill>
          <a:srgbClr val="FFFFFF"/>
        </a:solidFill>
      </xdr:grpSpPr>
      <xdr:sp>
        <xdr:nvSpPr>
          <xdr:cNvPr id="59" name="Line 142"/>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43"/>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44"/>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47625</xdr:colOff>
      <xdr:row>124</xdr:row>
      <xdr:rowOff>180975</xdr:rowOff>
    </xdr:from>
    <xdr:to>
      <xdr:col>7</xdr:col>
      <xdr:colOff>0</xdr:colOff>
      <xdr:row>126</xdr:row>
      <xdr:rowOff>152400</xdr:rowOff>
    </xdr:to>
    <xdr:grpSp>
      <xdr:nvGrpSpPr>
        <xdr:cNvPr id="62" name="Group 145"/>
        <xdr:cNvGrpSpPr>
          <a:grpSpLocks/>
        </xdr:cNvGrpSpPr>
      </xdr:nvGrpSpPr>
      <xdr:grpSpPr>
        <a:xfrm>
          <a:off x="2486025" y="23193375"/>
          <a:ext cx="123825" cy="323850"/>
          <a:chOff x="792" y="773"/>
          <a:chExt cx="14" cy="35"/>
        </a:xfrm>
        <a:solidFill>
          <a:srgbClr val="FFFFFF"/>
        </a:solidFill>
      </xdr:grpSpPr>
      <xdr:sp>
        <xdr:nvSpPr>
          <xdr:cNvPr id="63" name="Line 146"/>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47"/>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48"/>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22</xdr:col>
      <xdr:colOff>190500</xdr:colOff>
      <xdr:row>201</xdr:row>
      <xdr:rowOff>38100</xdr:rowOff>
    </xdr:from>
    <xdr:to>
      <xdr:col>22</xdr:col>
      <xdr:colOff>323850</xdr:colOff>
      <xdr:row>202</xdr:row>
      <xdr:rowOff>180975</xdr:rowOff>
    </xdr:to>
    <xdr:grpSp>
      <xdr:nvGrpSpPr>
        <xdr:cNvPr id="66" name="Group 157"/>
        <xdr:cNvGrpSpPr>
          <a:grpSpLocks/>
        </xdr:cNvGrpSpPr>
      </xdr:nvGrpSpPr>
      <xdr:grpSpPr>
        <a:xfrm>
          <a:off x="7915275" y="37014150"/>
          <a:ext cx="133350" cy="323850"/>
          <a:chOff x="792" y="773"/>
          <a:chExt cx="14" cy="35"/>
        </a:xfrm>
        <a:solidFill>
          <a:srgbClr val="FFFFFF"/>
        </a:solidFill>
      </xdr:grpSpPr>
      <xdr:sp>
        <xdr:nvSpPr>
          <xdr:cNvPr id="67" name="Line 158"/>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59"/>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60"/>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142875</xdr:colOff>
      <xdr:row>109</xdr:row>
      <xdr:rowOff>19050</xdr:rowOff>
    </xdr:from>
    <xdr:to>
      <xdr:col>21</xdr:col>
      <xdr:colOff>276225</xdr:colOff>
      <xdr:row>110</xdr:row>
      <xdr:rowOff>161925</xdr:rowOff>
    </xdr:to>
    <xdr:grpSp>
      <xdr:nvGrpSpPr>
        <xdr:cNvPr id="70" name="Group 165"/>
        <xdr:cNvGrpSpPr>
          <a:grpSpLocks/>
        </xdr:cNvGrpSpPr>
      </xdr:nvGrpSpPr>
      <xdr:grpSpPr>
        <a:xfrm>
          <a:off x="7258050" y="20393025"/>
          <a:ext cx="133350" cy="323850"/>
          <a:chOff x="792" y="773"/>
          <a:chExt cx="14" cy="35"/>
        </a:xfrm>
        <a:solidFill>
          <a:srgbClr val="FFFFFF"/>
        </a:solidFill>
      </xdr:grpSpPr>
      <xdr:sp>
        <xdr:nvSpPr>
          <xdr:cNvPr id="71" name="Line 166"/>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67"/>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68"/>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152400</xdr:colOff>
      <xdr:row>8</xdr:row>
      <xdr:rowOff>57150</xdr:rowOff>
    </xdr:from>
    <xdr:to>
      <xdr:col>21</xdr:col>
      <xdr:colOff>285750</xdr:colOff>
      <xdr:row>10</xdr:row>
      <xdr:rowOff>0</xdr:rowOff>
    </xdr:to>
    <xdr:grpSp>
      <xdr:nvGrpSpPr>
        <xdr:cNvPr id="74" name="Group 169"/>
        <xdr:cNvGrpSpPr>
          <a:grpSpLocks/>
        </xdr:cNvGrpSpPr>
      </xdr:nvGrpSpPr>
      <xdr:grpSpPr>
        <a:xfrm>
          <a:off x="7267575" y="1476375"/>
          <a:ext cx="133350" cy="333375"/>
          <a:chOff x="792" y="773"/>
          <a:chExt cx="14" cy="35"/>
        </a:xfrm>
        <a:solidFill>
          <a:srgbClr val="FFFFFF"/>
        </a:solidFill>
      </xdr:grpSpPr>
      <xdr:sp>
        <xdr:nvSpPr>
          <xdr:cNvPr id="75" name="Line 170"/>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171"/>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172"/>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295275</xdr:colOff>
      <xdr:row>224</xdr:row>
      <xdr:rowOff>171450</xdr:rowOff>
    </xdr:from>
    <xdr:to>
      <xdr:col>20</xdr:col>
      <xdr:colOff>428625</xdr:colOff>
      <xdr:row>226</xdr:row>
      <xdr:rowOff>123825</xdr:rowOff>
    </xdr:to>
    <xdr:grpSp>
      <xdr:nvGrpSpPr>
        <xdr:cNvPr id="78" name="Group 173"/>
        <xdr:cNvGrpSpPr>
          <a:grpSpLocks/>
        </xdr:cNvGrpSpPr>
      </xdr:nvGrpSpPr>
      <xdr:grpSpPr>
        <a:xfrm>
          <a:off x="6800850" y="41338500"/>
          <a:ext cx="133350" cy="304800"/>
          <a:chOff x="792" y="773"/>
          <a:chExt cx="14" cy="35"/>
        </a:xfrm>
        <a:solidFill>
          <a:srgbClr val="FFFFFF"/>
        </a:solidFill>
      </xdr:grpSpPr>
      <xdr:sp>
        <xdr:nvSpPr>
          <xdr:cNvPr id="79" name="Line 174"/>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175"/>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76"/>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447675</xdr:colOff>
      <xdr:row>225</xdr:row>
      <xdr:rowOff>142875</xdr:rowOff>
    </xdr:from>
    <xdr:to>
      <xdr:col>20</xdr:col>
      <xdr:colOff>581025</xdr:colOff>
      <xdr:row>227</xdr:row>
      <xdr:rowOff>85725</xdr:rowOff>
    </xdr:to>
    <xdr:grpSp>
      <xdr:nvGrpSpPr>
        <xdr:cNvPr id="82" name="Group 177"/>
        <xdr:cNvGrpSpPr>
          <a:grpSpLocks/>
        </xdr:cNvGrpSpPr>
      </xdr:nvGrpSpPr>
      <xdr:grpSpPr>
        <a:xfrm>
          <a:off x="6953250" y="41500425"/>
          <a:ext cx="133350" cy="304800"/>
          <a:chOff x="792" y="773"/>
          <a:chExt cx="14" cy="35"/>
        </a:xfrm>
        <a:solidFill>
          <a:srgbClr val="FFFFFF"/>
        </a:solidFill>
      </xdr:grpSpPr>
      <xdr:sp>
        <xdr:nvSpPr>
          <xdr:cNvPr id="83" name="Line 178"/>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179"/>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80"/>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600075</xdr:colOff>
      <xdr:row>226</xdr:row>
      <xdr:rowOff>95250</xdr:rowOff>
    </xdr:from>
    <xdr:to>
      <xdr:col>21</xdr:col>
      <xdr:colOff>123825</xdr:colOff>
      <xdr:row>228</xdr:row>
      <xdr:rowOff>66675</xdr:rowOff>
    </xdr:to>
    <xdr:grpSp>
      <xdr:nvGrpSpPr>
        <xdr:cNvPr id="86" name="Group 181"/>
        <xdr:cNvGrpSpPr>
          <a:grpSpLocks/>
        </xdr:cNvGrpSpPr>
      </xdr:nvGrpSpPr>
      <xdr:grpSpPr>
        <a:xfrm>
          <a:off x="7105650" y="41614725"/>
          <a:ext cx="133350" cy="333375"/>
          <a:chOff x="792" y="773"/>
          <a:chExt cx="14" cy="35"/>
        </a:xfrm>
        <a:solidFill>
          <a:srgbClr val="FFFFFF"/>
        </a:solidFill>
      </xdr:grpSpPr>
      <xdr:sp>
        <xdr:nvSpPr>
          <xdr:cNvPr id="87" name="Line 182"/>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83"/>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84"/>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xdr:colOff>
      <xdr:row>37</xdr:row>
      <xdr:rowOff>142875</xdr:rowOff>
    </xdr:from>
    <xdr:to>
      <xdr:col>21</xdr:col>
      <xdr:colOff>285750</xdr:colOff>
      <xdr:row>37</xdr:row>
      <xdr:rowOff>142875</xdr:rowOff>
    </xdr:to>
    <xdr:sp>
      <xdr:nvSpPr>
        <xdr:cNvPr id="90" name="Line 193"/>
        <xdr:cNvSpPr>
          <a:spLocks/>
        </xdr:cNvSpPr>
      </xdr:nvSpPr>
      <xdr:spPr>
        <a:xfrm>
          <a:off x="7153275" y="69818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31</xdr:row>
      <xdr:rowOff>0</xdr:rowOff>
    </xdr:from>
    <xdr:to>
      <xdr:col>7</xdr:col>
      <xdr:colOff>9525</xdr:colOff>
      <xdr:row>31</xdr:row>
      <xdr:rowOff>0</xdr:rowOff>
    </xdr:to>
    <xdr:sp>
      <xdr:nvSpPr>
        <xdr:cNvPr id="91" name="Line 198"/>
        <xdr:cNvSpPr>
          <a:spLocks/>
        </xdr:cNvSpPr>
      </xdr:nvSpPr>
      <xdr:spPr>
        <a:xfrm>
          <a:off x="2609850" y="57340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31</xdr:row>
      <xdr:rowOff>0</xdr:rowOff>
    </xdr:from>
    <xdr:to>
      <xdr:col>6</xdr:col>
      <xdr:colOff>95250</xdr:colOff>
      <xdr:row>31</xdr:row>
      <xdr:rowOff>0</xdr:rowOff>
    </xdr:to>
    <xdr:sp>
      <xdr:nvSpPr>
        <xdr:cNvPr id="92" name="Line 207"/>
        <xdr:cNvSpPr>
          <a:spLocks/>
        </xdr:cNvSpPr>
      </xdr:nvSpPr>
      <xdr:spPr>
        <a:xfrm>
          <a:off x="2324100" y="5734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581025</xdr:colOff>
      <xdr:row>37</xdr:row>
      <xdr:rowOff>142875</xdr:rowOff>
    </xdr:from>
    <xdr:to>
      <xdr:col>21</xdr:col>
      <xdr:colOff>38100</xdr:colOff>
      <xdr:row>38</xdr:row>
      <xdr:rowOff>133350</xdr:rowOff>
    </xdr:to>
    <xdr:grpSp>
      <xdr:nvGrpSpPr>
        <xdr:cNvPr id="93" name="Group 209"/>
        <xdr:cNvGrpSpPr>
          <a:grpSpLocks/>
        </xdr:cNvGrpSpPr>
      </xdr:nvGrpSpPr>
      <xdr:grpSpPr>
        <a:xfrm>
          <a:off x="7086600" y="6981825"/>
          <a:ext cx="66675" cy="152400"/>
          <a:chOff x="792" y="773"/>
          <a:chExt cx="14" cy="35"/>
        </a:xfrm>
        <a:solidFill>
          <a:srgbClr val="FFFFFF"/>
        </a:solidFill>
      </xdr:grpSpPr>
      <xdr:sp>
        <xdr:nvSpPr>
          <xdr:cNvPr id="94" name="Line 210"/>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211"/>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212"/>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276225</xdr:colOff>
      <xdr:row>39</xdr:row>
      <xdr:rowOff>104775</xdr:rowOff>
    </xdr:from>
    <xdr:to>
      <xdr:col>21</xdr:col>
      <xdr:colOff>342900</xdr:colOff>
      <xdr:row>40</xdr:row>
      <xdr:rowOff>85725</xdr:rowOff>
    </xdr:to>
    <xdr:grpSp>
      <xdr:nvGrpSpPr>
        <xdr:cNvPr id="97" name="Group 217"/>
        <xdr:cNvGrpSpPr>
          <a:grpSpLocks/>
        </xdr:cNvGrpSpPr>
      </xdr:nvGrpSpPr>
      <xdr:grpSpPr>
        <a:xfrm>
          <a:off x="7391400" y="7267575"/>
          <a:ext cx="66675" cy="171450"/>
          <a:chOff x="792" y="773"/>
          <a:chExt cx="14" cy="35"/>
        </a:xfrm>
        <a:solidFill>
          <a:srgbClr val="FFFFFF"/>
        </a:solidFill>
      </xdr:grpSpPr>
      <xdr:sp>
        <xdr:nvSpPr>
          <xdr:cNvPr id="98" name="Line 218"/>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219"/>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220"/>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123825</xdr:colOff>
      <xdr:row>29</xdr:row>
      <xdr:rowOff>171450</xdr:rowOff>
    </xdr:from>
    <xdr:to>
      <xdr:col>6</xdr:col>
      <xdr:colOff>0</xdr:colOff>
      <xdr:row>30</xdr:row>
      <xdr:rowOff>161925</xdr:rowOff>
    </xdr:to>
    <xdr:grpSp>
      <xdr:nvGrpSpPr>
        <xdr:cNvPr id="101" name="Group 224"/>
        <xdr:cNvGrpSpPr>
          <a:grpSpLocks/>
        </xdr:cNvGrpSpPr>
      </xdr:nvGrpSpPr>
      <xdr:grpSpPr>
        <a:xfrm>
          <a:off x="2124075" y="5543550"/>
          <a:ext cx="314325" cy="171450"/>
          <a:chOff x="223" y="602"/>
          <a:chExt cx="33" cy="18"/>
        </a:xfrm>
        <a:solidFill>
          <a:srgbClr val="FFFFFF"/>
        </a:solidFill>
      </xdr:grpSpPr>
      <xdr:grpSp>
        <xdr:nvGrpSpPr>
          <xdr:cNvPr id="102" name="Group 189"/>
          <xdr:cNvGrpSpPr>
            <a:grpSpLocks/>
          </xdr:cNvGrpSpPr>
        </xdr:nvGrpSpPr>
        <xdr:grpSpPr>
          <a:xfrm>
            <a:off x="223" y="602"/>
            <a:ext cx="7" cy="18"/>
            <a:chOff x="792" y="773"/>
            <a:chExt cx="14" cy="35"/>
          </a:xfrm>
          <a:solidFill>
            <a:srgbClr val="FFFFFF"/>
          </a:solidFill>
        </xdr:grpSpPr>
        <xdr:sp>
          <xdr:nvSpPr>
            <xdr:cNvPr id="103" name="Line 190"/>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91"/>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92"/>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6" name="Line 223"/>
          <xdr:cNvSpPr>
            <a:spLocks/>
          </xdr:cNvSpPr>
        </xdr:nvSpPr>
        <xdr:spPr>
          <a:xfrm>
            <a:off x="231" y="603"/>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123825</xdr:colOff>
      <xdr:row>31</xdr:row>
      <xdr:rowOff>0</xdr:rowOff>
    </xdr:from>
    <xdr:to>
      <xdr:col>5</xdr:col>
      <xdr:colOff>371475</xdr:colOff>
      <xdr:row>32</xdr:row>
      <xdr:rowOff>9525</xdr:rowOff>
    </xdr:to>
    <xdr:grpSp>
      <xdr:nvGrpSpPr>
        <xdr:cNvPr id="107" name="Group 226"/>
        <xdr:cNvGrpSpPr>
          <a:grpSpLocks/>
        </xdr:cNvGrpSpPr>
      </xdr:nvGrpSpPr>
      <xdr:grpSpPr>
        <a:xfrm>
          <a:off x="2124075" y="5734050"/>
          <a:ext cx="247650" cy="190500"/>
          <a:chOff x="223" y="622"/>
          <a:chExt cx="26" cy="20"/>
        </a:xfrm>
        <a:solidFill>
          <a:srgbClr val="FFFFFF"/>
        </a:solidFill>
      </xdr:grpSpPr>
      <xdr:grpSp>
        <xdr:nvGrpSpPr>
          <xdr:cNvPr id="108" name="Group 194"/>
          <xdr:cNvGrpSpPr>
            <a:grpSpLocks/>
          </xdr:cNvGrpSpPr>
        </xdr:nvGrpSpPr>
        <xdr:grpSpPr>
          <a:xfrm>
            <a:off x="223" y="624"/>
            <a:ext cx="6" cy="18"/>
            <a:chOff x="792" y="773"/>
            <a:chExt cx="14" cy="35"/>
          </a:xfrm>
          <a:solidFill>
            <a:srgbClr val="FFFFFF"/>
          </a:solidFill>
        </xdr:grpSpPr>
        <xdr:sp>
          <xdr:nvSpPr>
            <xdr:cNvPr id="109" name="Line 195"/>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Line 196"/>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97"/>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2" name="Line 225"/>
          <xdr:cNvSpPr>
            <a:spLocks/>
          </xdr:cNvSpPr>
        </xdr:nvSpPr>
        <xdr:spPr>
          <a:xfrm>
            <a:off x="228" y="622"/>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114300</xdr:colOff>
      <xdr:row>31</xdr:row>
      <xdr:rowOff>38100</xdr:rowOff>
    </xdr:from>
    <xdr:to>
      <xdr:col>15</xdr:col>
      <xdr:colOff>371475</xdr:colOff>
      <xdr:row>32</xdr:row>
      <xdr:rowOff>28575</xdr:rowOff>
    </xdr:to>
    <xdr:grpSp>
      <xdr:nvGrpSpPr>
        <xdr:cNvPr id="113" name="Group 228"/>
        <xdr:cNvGrpSpPr>
          <a:grpSpLocks/>
        </xdr:cNvGrpSpPr>
      </xdr:nvGrpSpPr>
      <xdr:grpSpPr>
        <a:xfrm>
          <a:off x="4286250" y="5772150"/>
          <a:ext cx="933450" cy="171450"/>
          <a:chOff x="450" y="626"/>
          <a:chExt cx="98" cy="18"/>
        </a:xfrm>
        <a:solidFill>
          <a:srgbClr val="FFFFFF"/>
        </a:solidFill>
      </xdr:grpSpPr>
      <xdr:grpSp>
        <xdr:nvGrpSpPr>
          <xdr:cNvPr id="114" name="Group 213"/>
          <xdr:cNvGrpSpPr>
            <a:grpSpLocks/>
          </xdr:cNvGrpSpPr>
        </xdr:nvGrpSpPr>
        <xdr:grpSpPr>
          <a:xfrm>
            <a:off x="450" y="626"/>
            <a:ext cx="5" cy="18"/>
            <a:chOff x="792" y="773"/>
            <a:chExt cx="14" cy="35"/>
          </a:xfrm>
          <a:solidFill>
            <a:srgbClr val="FFFFFF"/>
          </a:solidFill>
        </xdr:grpSpPr>
        <xdr:sp>
          <xdr:nvSpPr>
            <xdr:cNvPr id="115" name="Line 214"/>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215"/>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16"/>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8" name="Line 227"/>
          <xdr:cNvSpPr>
            <a:spLocks/>
          </xdr:cNvSpPr>
        </xdr:nvSpPr>
        <xdr:spPr>
          <a:xfrm>
            <a:off x="454" y="626"/>
            <a:ext cx="9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114300</xdr:colOff>
      <xdr:row>30</xdr:row>
      <xdr:rowOff>0</xdr:rowOff>
    </xdr:from>
    <xdr:to>
      <xdr:col>15</xdr:col>
      <xdr:colOff>304800</xdr:colOff>
      <xdr:row>30</xdr:row>
      <xdr:rowOff>171450</xdr:rowOff>
    </xdr:to>
    <xdr:grpSp>
      <xdr:nvGrpSpPr>
        <xdr:cNvPr id="119" name="Group 230"/>
        <xdr:cNvGrpSpPr>
          <a:grpSpLocks/>
        </xdr:cNvGrpSpPr>
      </xdr:nvGrpSpPr>
      <xdr:grpSpPr>
        <a:xfrm>
          <a:off x="4286250" y="5553075"/>
          <a:ext cx="866775" cy="171450"/>
          <a:chOff x="450" y="603"/>
          <a:chExt cx="91" cy="18"/>
        </a:xfrm>
        <a:solidFill>
          <a:srgbClr val="FFFFFF"/>
        </a:solidFill>
      </xdr:grpSpPr>
      <xdr:grpSp>
        <xdr:nvGrpSpPr>
          <xdr:cNvPr id="120" name="Group 185"/>
          <xdr:cNvGrpSpPr>
            <a:grpSpLocks/>
          </xdr:cNvGrpSpPr>
        </xdr:nvGrpSpPr>
        <xdr:grpSpPr>
          <a:xfrm>
            <a:off x="450" y="603"/>
            <a:ext cx="5" cy="18"/>
            <a:chOff x="792" y="773"/>
            <a:chExt cx="14" cy="35"/>
          </a:xfrm>
          <a:solidFill>
            <a:srgbClr val="FFFFFF"/>
          </a:solidFill>
        </xdr:grpSpPr>
        <xdr:sp>
          <xdr:nvSpPr>
            <xdr:cNvPr id="121" name="Line 186"/>
            <xdr:cNvSpPr>
              <a:spLocks/>
            </xdr:cNvSpPr>
          </xdr:nvSpPr>
          <xdr:spPr>
            <a:xfrm flipH="1">
              <a:off x="798" y="773"/>
              <a:ext cx="8"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187"/>
            <xdr:cNvSpPr>
              <a:spLocks/>
            </xdr:cNvSpPr>
          </xdr:nvSpPr>
          <xdr:spPr>
            <a:xfrm flipH="1" flipV="1">
              <a:off x="796" y="798"/>
              <a:ext cx="2"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188"/>
            <xdr:cNvSpPr>
              <a:spLocks/>
            </xdr:cNvSpPr>
          </xdr:nvSpPr>
          <xdr:spPr>
            <a:xfrm flipH="1">
              <a:off x="792" y="79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4" name="Line 229"/>
          <xdr:cNvSpPr>
            <a:spLocks/>
          </xdr:cNvSpPr>
        </xdr:nvSpPr>
        <xdr:spPr>
          <a:xfrm>
            <a:off x="454" y="604"/>
            <a:ext cx="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57150</xdr:colOff>
      <xdr:row>122</xdr:row>
      <xdr:rowOff>133350</xdr:rowOff>
    </xdr:from>
    <xdr:to>
      <xdr:col>2</xdr:col>
      <xdr:colOff>142875</xdr:colOff>
      <xdr:row>122</xdr:row>
      <xdr:rowOff>133350</xdr:rowOff>
    </xdr:to>
    <xdr:sp>
      <xdr:nvSpPr>
        <xdr:cNvPr id="125" name="Line 231"/>
        <xdr:cNvSpPr>
          <a:spLocks/>
        </xdr:cNvSpPr>
      </xdr:nvSpPr>
      <xdr:spPr>
        <a:xfrm>
          <a:off x="1123950" y="22764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162</xdr:row>
      <xdr:rowOff>9525</xdr:rowOff>
    </xdr:from>
    <xdr:to>
      <xdr:col>23</xdr:col>
      <xdr:colOff>219075</xdr:colOff>
      <xdr:row>163</xdr:row>
      <xdr:rowOff>142875</xdr:rowOff>
    </xdr:to>
    <xdr:sp>
      <xdr:nvSpPr>
        <xdr:cNvPr id="126" name="AutoShape 232"/>
        <xdr:cNvSpPr>
          <a:spLocks/>
        </xdr:cNvSpPr>
      </xdr:nvSpPr>
      <xdr:spPr>
        <a:xfrm>
          <a:off x="7772400" y="29908500"/>
          <a:ext cx="6286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156</xdr:row>
      <xdr:rowOff>123825</xdr:rowOff>
    </xdr:from>
    <xdr:to>
      <xdr:col>21</xdr:col>
      <xdr:colOff>361950</xdr:colOff>
      <xdr:row>158</xdr:row>
      <xdr:rowOff>85725</xdr:rowOff>
    </xdr:to>
    <xdr:sp>
      <xdr:nvSpPr>
        <xdr:cNvPr id="127" name="AutoShape 233"/>
        <xdr:cNvSpPr>
          <a:spLocks/>
        </xdr:cNvSpPr>
      </xdr:nvSpPr>
      <xdr:spPr>
        <a:xfrm>
          <a:off x="6819900" y="28860750"/>
          <a:ext cx="6572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0</xdr:rowOff>
    </xdr:from>
    <xdr:to>
      <xdr:col>2</xdr:col>
      <xdr:colOff>9525</xdr:colOff>
      <xdr:row>32</xdr:row>
      <xdr:rowOff>0</xdr:rowOff>
    </xdr:to>
    <xdr:sp>
      <xdr:nvSpPr>
        <xdr:cNvPr id="1" name="Line 3"/>
        <xdr:cNvSpPr>
          <a:spLocks/>
        </xdr:cNvSpPr>
      </xdr:nvSpPr>
      <xdr:spPr>
        <a:xfrm>
          <a:off x="333375" y="4572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32</xdr:row>
      <xdr:rowOff>0</xdr:rowOff>
    </xdr:from>
    <xdr:to>
      <xdr:col>17</xdr:col>
      <xdr:colOff>19050</xdr:colOff>
      <xdr:row>32</xdr:row>
      <xdr:rowOff>0</xdr:rowOff>
    </xdr:to>
    <xdr:sp>
      <xdr:nvSpPr>
        <xdr:cNvPr id="2" name="Line 4"/>
        <xdr:cNvSpPr>
          <a:spLocks/>
        </xdr:cNvSpPr>
      </xdr:nvSpPr>
      <xdr:spPr>
        <a:xfrm>
          <a:off x="85725" y="521970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9525</xdr:rowOff>
    </xdr:from>
    <xdr:to>
      <xdr:col>9</xdr:col>
      <xdr:colOff>0</xdr:colOff>
      <xdr:row>31</xdr:row>
      <xdr:rowOff>152400</xdr:rowOff>
    </xdr:to>
    <xdr:sp>
      <xdr:nvSpPr>
        <xdr:cNvPr id="3" name="Line 5"/>
        <xdr:cNvSpPr>
          <a:spLocks/>
        </xdr:cNvSpPr>
      </xdr:nvSpPr>
      <xdr:spPr>
        <a:xfrm flipV="1">
          <a:off x="1457325" y="657225"/>
          <a:ext cx="0" cy="4552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142875</xdr:rowOff>
    </xdr:from>
    <xdr:to>
      <xdr:col>7</xdr:col>
      <xdr:colOff>0</xdr:colOff>
      <xdr:row>27</xdr:row>
      <xdr:rowOff>142875</xdr:rowOff>
    </xdr:to>
    <xdr:sp>
      <xdr:nvSpPr>
        <xdr:cNvPr id="4" name="Line 6"/>
        <xdr:cNvSpPr>
          <a:spLocks/>
        </xdr:cNvSpPr>
      </xdr:nvSpPr>
      <xdr:spPr>
        <a:xfrm>
          <a:off x="323850" y="4552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27</xdr:row>
      <xdr:rowOff>152400</xdr:rowOff>
    </xdr:from>
    <xdr:to>
      <xdr:col>17</xdr:col>
      <xdr:colOff>9525</xdr:colOff>
      <xdr:row>27</xdr:row>
      <xdr:rowOff>152400</xdr:rowOff>
    </xdr:to>
    <xdr:sp>
      <xdr:nvSpPr>
        <xdr:cNvPr id="5" name="Line 7"/>
        <xdr:cNvSpPr>
          <a:spLocks/>
        </xdr:cNvSpPr>
      </xdr:nvSpPr>
      <xdr:spPr>
        <a:xfrm>
          <a:off x="1790700" y="4562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xdr:row>
      <xdr:rowOff>142875</xdr:rowOff>
    </xdr:from>
    <xdr:to>
      <xdr:col>17</xdr:col>
      <xdr:colOff>0</xdr:colOff>
      <xdr:row>32</xdr:row>
      <xdr:rowOff>0</xdr:rowOff>
    </xdr:to>
    <xdr:sp>
      <xdr:nvSpPr>
        <xdr:cNvPr id="6" name="Line 8"/>
        <xdr:cNvSpPr>
          <a:spLocks/>
        </xdr:cNvSpPr>
      </xdr:nvSpPr>
      <xdr:spPr>
        <a:xfrm flipV="1">
          <a:off x="2752725" y="45529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3</xdr:row>
      <xdr:rowOff>152400</xdr:rowOff>
    </xdr:from>
    <xdr:to>
      <xdr:col>7</xdr:col>
      <xdr:colOff>152400</xdr:colOff>
      <xdr:row>28</xdr:row>
      <xdr:rowOff>0</xdr:rowOff>
    </xdr:to>
    <xdr:sp>
      <xdr:nvSpPr>
        <xdr:cNvPr id="7" name="Line 9"/>
        <xdr:cNvSpPr>
          <a:spLocks/>
        </xdr:cNvSpPr>
      </xdr:nvSpPr>
      <xdr:spPr>
        <a:xfrm flipV="1">
          <a:off x="1123950" y="638175"/>
          <a:ext cx="161925" cy="393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xdr:row>
      <xdr:rowOff>152400</xdr:rowOff>
    </xdr:from>
    <xdr:to>
      <xdr:col>11</xdr:col>
      <xdr:colOff>0</xdr:colOff>
      <xdr:row>27</xdr:row>
      <xdr:rowOff>152400</xdr:rowOff>
    </xdr:to>
    <xdr:sp>
      <xdr:nvSpPr>
        <xdr:cNvPr id="8" name="Line 10"/>
        <xdr:cNvSpPr>
          <a:spLocks/>
        </xdr:cNvSpPr>
      </xdr:nvSpPr>
      <xdr:spPr>
        <a:xfrm flipH="1" flipV="1">
          <a:off x="1628775" y="638175"/>
          <a:ext cx="152400" cy="392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4</xdr:row>
      <xdr:rowOff>0</xdr:rowOff>
    </xdr:from>
    <xdr:to>
      <xdr:col>10</xdr:col>
      <xdr:colOff>9525</xdr:colOff>
      <xdr:row>4</xdr:row>
      <xdr:rowOff>0</xdr:rowOff>
    </xdr:to>
    <xdr:sp>
      <xdr:nvSpPr>
        <xdr:cNvPr id="9" name="Line 11"/>
        <xdr:cNvSpPr>
          <a:spLocks/>
        </xdr:cNvSpPr>
      </xdr:nvSpPr>
      <xdr:spPr>
        <a:xfrm>
          <a:off x="1285875" y="647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24</xdr:row>
      <xdr:rowOff>0</xdr:rowOff>
    </xdr:from>
    <xdr:to>
      <xdr:col>7</xdr:col>
      <xdr:colOff>0</xdr:colOff>
      <xdr:row>24</xdr:row>
      <xdr:rowOff>0</xdr:rowOff>
    </xdr:to>
    <xdr:sp>
      <xdr:nvSpPr>
        <xdr:cNvPr id="10" name="Line 12"/>
        <xdr:cNvSpPr>
          <a:spLocks/>
        </xdr:cNvSpPr>
      </xdr:nvSpPr>
      <xdr:spPr>
        <a:xfrm flipH="1">
          <a:off x="95250" y="392430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24</xdr:row>
      <xdr:rowOff>9525</xdr:rowOff>
    </xdr:from>
    <xdr:to>
      <xdr:col>6</xdr:col>
      <xdr:colOff>133350</xdr:colOff>
      <xdr:row>24</xdr:row>
      <xdr:rowOff>95250</xdr:rowOff>
    </xdr:to>
    <xdr:sp>
      <xdr:nvSpPr>
        <xdr:cNvPr id="11" name="Line 13"/>
        <xdr:cNvSpPr>
          <a:spLocks/>
        </xdr:cNvSpPr>
      </xdr:nvSpPr>
      <xdr:spPr>
        <a:xfrm flipH="1">
          <a:off x="105727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xdr:row>
      <xdr:rowOff>0</xdr:rowOff>
    </xdr:from>
    <xdr:to>
      <xdr:col>6</xdr:col>
      <xdr:colOff>57150</xdr:colOff>
      <xdr:row>24</xdr:row>
      <xdr:rowOff>95250</xdr:rowOff>
    </xdr:to>
    <xdr:sp>
      <xdr:nvSpPr>
        <xdr:cNvPr id="12" name="Line 15"/>
        <xdr:cNvSpPr>
          <a:spLocks/>
        </xdr:cNvSpPr>
      </xdr:nvSpPr>
      <xdr:spPr>
        <a:xfrm flipH="1">
          <a:off x="97155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24</xdr:row>
      <xdr:rowOff>9525</xdr:rowOff>
    </xdr:from>
    <xdr:to>
      <xdr:col>2</xdr:col>
      <xdr:colOff>133350</xdr:colOff>
      <xdr:row>24</xdr:row>
      <xdr:rowOff>95250</xdr:rowOff>
    </xdr:to>
    <xdr:sp>
      <xdr:nvSpPr>
        <xdr:cNvPr id="13" name="Line 22"/>
        <xdr:cNvSpPr>
          <a:spLocks/>
        </xdr:cNvSpPr>
      </xdr:nvSpPr>
      <xdr:spPr>
        <a:xfrm flipH="1">
          <a:off x="40957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xdr:row>
      <xdr:rowOff>0</xdr:rowOff>
    </xdr:from>
    <xdr:to>
      <xdr:col>2</xdr:col>
      <xdr:colOff>57150</xdr:colOff>
      <xdr:row>24</xdr:row>
      <xdr:rowOff>95250</xdr:rowOff>
    </xdr:to>
    <xdr:sp>
      <xdr:nvSpPr>
        <xdr:cNvPr id="14" name="Line 23"/>
        <xdr:cNvSpPr>
          <a:spLocks/>
        </xdr:cNvSpPr>
      </xdr:nvSpPr>
      <xdr:spPr>
        <a:xfrm flipH="1">
          <a:off x="32385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9525</xdr:rowOff>
    </xdr:from>
    <xdr:to>
      <xdr:col>3</xdr:col>
      <xdr:colOff>0</xdr:colOff>
      <xdr:row>24</xdr:row>
      <xdr:rowOff>95250</xdr:rowOff>
    </xdr:to>
    <xdr:sp>
      <xdr:nvSpPr>
        <xdr:cNvPr id="15" name="Line 24"/>
        <xdr:cNvSpPr>
          <a:spLocks/>
        </xdr:cNvSpPr>
      </xdr:nvSpPr>
      <xdr:spPr>
        <a:xfrm flipH="1">
          <a:off x="485775"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95250</xdr:rowOff>
    </xdr:to>
    <xdr:sp>
      <xdr:nvSpPr>
        <xdr:cNvPr id="16" name="Line 25"/>
        <xdr:cNvSpPr>
          <a:spLocks/>
        </xdr:cNvSpPr>
      </xdr:nvSpPr>
      <xdr:spPr>
        <a:xfrm flipH="1">
          <a:off x="485775"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9525</xdr:rowOff>
    </xdr:from>
    <xdr:to>
      <xdr:col>3</xdr:col>
      <xdr:colOff>0</xdr:colOff>
      <xdr:row>24</xdr:row>
      <xdr:rowOff>95250</xdr:rowOff>
    </xdr:to>
    <xdr:sp>
      <xdr:nvSpPr>
        <xdr:cNvPr id="17" name="Line 26"/>
        <xdr:cNvSpPr>
          <a:spLocks/>
        </xdr:cNvSpPr>
      </xdr:nvSpPr>
      <xdr:spPr>
        <a:xfrm flipH="1">
          <a:off x="485775"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95250</xdr:rowOff>
    </xdr:to>
    <xdr:sp>
      <xdr:nvSpPr>
        <xdr:cNvPr id="18" name="Line 27"/>
        <xdr:cNvSpPr>
          <a:spLocks/>
        </xdr:cNvSpPr>
      </xdr:nvSpPr>
      <xdr:spPr>
        <a:xfrm flipH="1">
          <a:off x="485775"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9525</xdr:rowOff>
    </xdr:from>
    <xdr:to>
      <xdr:col>3</xdr:col>
      <xdr:colOff>0</xdr:colOff>
      <xdr:row>24</xdr:row>
      <xdr:rowOff>95250</xdr:rowOff>
    </xdr:to>
    <xdr:sp>
      <xdr:nvSpPr>
        <xdr:cNvPr id="19" name="Line 28"/>
        <xdr:cNvSpPr>
          <a:spLocks/>
        </xdr:cNvSpPr>
      </xdr:nvSpPr>
      <xdr:spPr>
        <a:xfrm flipH="1">
          <a:off x="485775"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95250</xdr:rowOff>
    </xdr:to>
    <xdr:sp>
      <xdr:nvSpPr>
        <xdr:cNvPr id="20" name="Line 29"/>
        <xdr:cNvSpPr>
          <a:spLocks/>
        </xdr:cNvSpPr>
      </xdr:nvSpPr>
      <xdr:spPr>
        <a:xfrm flipH="1">
          <a:off x="485775"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9525</xdr:rowOff>
    </xdr:from>
    <xdr:to>
      <xdr:col>3</xdr:col>
      <xdr:colOff>0</xdr:colOff>
      <xdr:row>24</xdr:row>
      <xdr:rowOff>95250</xdr:rowOff>
    </xdr:to>
    <xdr:sp>
      <xdr:nvSpPr>
        <xdr:cNvPr id="21" name="Line 30"/>
        <xdr:cNvSpPr>
          <a:spLocks/>
        </xdr:cNvSpPr>
      </xdr:nvSpPr>
      <xdr:spPr>
        <a:xfrm flipH="1">
          <a:off x="485775"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95250</xdr:rowOff>
    </xdr:to>
    <xdr:sp>
      <xdr:nvSpPr>
        <xdr:cNvPr id="22" name="Line 31"/>
        <xdr:cNvSpPr>
          <a:spLocks/>
        </xdr:cNvSpPr>
      </xdr:nvSpPr>
      <xdr:spPr>
        <a:xfrm flipH="1">
          <a:off x="485775"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9525</xdr:rowOff>
    </xdr:from>
    <xdr:to>
      <xdr:col>3</xdr:col>
      <xdr:colOff>0</xdr:colOff>
      <xdr:row>24</xdr:row>
      <xdr:rowOff>95250</xdr:rowOff>
    </xdr:to>
    <xdr:sp>
      <xdr:nvSpPr>
        <xdr:cNvPr id="23" name="Line 32"/>
        <xdr:cNvSpPr>
          <a:spLocks/>
        </xdr:cNvSpPr>
      </xdr:nvSpPr>
      <xdr:spPr>
        <a:xfrm flipH="1">
          <a:off x="485775"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95250</xdr:rowOff>
    </xdr:to>
    <xdr:sp>
      <xdr:nvSpPr>
        <xdr:cNvPr id="24" name="Line 33"/>
        <xdr:cNvSpPr>
          <a:spLocks/>
        </xdr:cNvSpPr>
      </xdr:nvSpPr>
      <xdr:spPr>
        <a:xfrm flipH="1">
          <a:off x="485775"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xdr:row>
      <xdr:rowOff>9525</xdr:rowOff>
    </xdr:from>
    <xdr:to>
      <xdr:col>3</xdr:col>
      <xdr:colOff>133350</xdr:colOff>
      <xdr:row>24</xdr:row>
      <xdr:rowOff>95250</xdr:rowOff>
    </xdr:to>
    <xdr:sp>
      <xdr:nvSpPr>
        <xdr:cNvPr id="25" name="Line 34"/>
        <xdr:cNvSpPr>
          <a:spLocks/>
        </xdr:cNvSpPr>
      </xdr:nvSpPr>
      <xdr:spPr>
        <a:xfrm flipH="1">
          <a:off x="57150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57150</xdr:colOff>
      <xdr:row>24</xdr:row>
      <xdr:rowOff>95250</xdr:rowOff>
    </xdr:to>
    <xdr:sp>
      <xdr:nvSpPr>
        <xdr:cNvPr id="26" name="Line 35"/>
        <xdr:cNvSpPr>
          <a:spLocks/>
        </xdr:cNvSpPr>
      </xdr:nvSpPr>
      <xdr:spPr>
        <a:xfrm flipH="1">
          <a:off x="48577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24</xdr:row>
      <xdr:rowOff>9525</xdr:rowOff>
    </xdr:from>
    <xdr:to>
      <xdr:col>4</xdr:col>
      <xdr:colOff>133350</xdr:colOff>
      <xdr:row>24</xdr:row>
      <xdr:rowOff>95250</xdr:rowOff>
    </xdr:to>
    <xdr:sp>
      <xdr:nvSpPr>
        <xdr:cNvPr id="27" name="Line 36"/>
        <xdr:cNvSpPr>
          <a:spLocks/>
        </xdr:cNvSpPr>
      </xdr:nvSpPr>
      <xdr:spPr>
        <a:xfrm flipH="1">
          <a:off x="73342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0</xdr:rowOff>
    </xdr:from>
    <xdr:to>
      <xdr:col>4</xdr:col>
      <xdr:colOff>57150</xdr:colOff>
      <xdr:row>24</xdr:row>
      <xdr:rowOff>95250</xdr:rowOff>
    </xdr:to>
    <xdr:sp>
      <xdr:nvSpPr>
        <xdr:cNvPr id="28" name="Line 37"/>
        <xdr:cNvSpPr>
          <a:spLocks/>
        </xdr:cNvSpPr>
      </xdr:nvSpPr>
      <xdr:spPr>
        <a:xfrm flipH="1">
          <a:off x="64770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24</xdr:row>
      <xdr:rowOff>9525</xdr:rowOff>
    </xdr:from>
    <xdr:to>
      <xdr:col>5</xdr:col>
      <xdr:colOff>133350</xdr:colOff>
      <xdr:row>24</xdr:row>
      <xdr:rowOff>95250</xdr:rowOff>
    </xdr:to>
    <xdr:sp>
      <xdr:nvSpPr>
        <xdr:cNvPr id="29" name="Line 38"/>
        <xdr:cNvSpPr>
          <a:spLocks/>
        </xdr:cNvSpPr>
      </xdr:nvSpPr>
      <xdr:spPr>
        <a:xfrm flipH="1">
          <a:off x="89535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5</xdr:col>
      <xdr:colOff>57150</xdr:colOff>
      <xdr:row>24</xdr:row>
      <xdr:rowOff>95250</xdr:rowOff>
    </xdr:to>
    <xdr:sp>
      <xdr:nvSpPr>
        <xdr:cNvPr id="30" name="Line 39"/>
        <xdr:cNvSpPr>
          <a:spLocks/>
        </xdr:cNvSpPr>
      </xdr:nvSpPr>
      <xdr:spPr>
        <a:xfrm flipH="1">
          <a:off x="80962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32</xdr:row>
      <xdr:rowOff>123825</xdr:rowOff>
    </xdr:from>
    <xdr:to>
      <xdr:col>5</xdr:col>
      <xdr:colOff>152400</xdr:colOff>
      <xdr:row>32</xdr:row>
      <xdr:rowOff>123825</xdr:rowOff>
    </xdr:to>
    <xdr:sp>
      <xdr:nvSpPr>
        <xdr:cNvPr id="31" name="Line 42"/>
        <xdr:cNvSpPr>
          <a:spLocks/>
        </xdr:cNvSpPr>
      </xdr:nvSpPr>
      <xdr:spPr>
        <a:xfrm flipH="1">
          <a:off x="323850" y="534352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32</xdr:row>
      <xdr:rowOff>38100</xdr:rowOff>
    </xdr:from>
    <xdr:to>
      <xdr:col>2</xdr:col>
      <xdr:colOff>9525</xdr:colOff>
      <xdr:row>33</xdr:row>
      <xdr:rowOff>47625</xdr:rowOff>
    </xdr:to>
    <xdr:sp>
      <xdr:nvSpPr>
        <xdr:cNvPr id="32" name="Line 43"/>
        <xdr:cNvSpPr>
          <a:spLocks/>
        </xdr:cNvSpPr>
      </xdr:nvSpPr>
      <xdr:spPr>
        <a:xfrm>
          <a:off x="333375" y="52578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32</xdr:row>
      <xdr:rowOff>28575</xdr:rowOff>
    </xdr:from>
    <xdr:to>
      <xdr:col>17</xdr:col>
      <xdr:colOff>9525</xdr:colOff>
      <xdr:row>33</xdr:row>
      <xdr:rowOff>9525</xdr:rowOff>
    </xdr:to>
    <xdr:sp>
      <xdr:nvSpPr>
        <xdr:cNvPr id="33" name="Line 44"/>
        <xdr:cNvSpPr>
          <a:spLocks/>
        </xdr:cNvSpPr>
      </xdr:nvSpPr>
      <xdr:spPr>
        <a:xfrm>
          <a:off x="2762250" y="52482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32</xdr:row>
      <xdr:rowOff>85725</xdr:rowOff>
    </xdr:from>
    <xdr:to>
      <xdr:col>17</xdr:col>
      <xdr:colOff>38100</xdr:colOff>
      <xdr:row>32</xdr:row>
      <xdr:rowOff>85725</xdr:rowOff>
    </xdr:to>
    <xdr:sp>
      <xdr:nvSpPr>
        <xdr:cNvPr id="34" name="Line 45"/>
        <xdr:cNvSpPr>
          <a:spLocks/>
        </xdr:cNvSpPr>
      </xdr:nvSpPr>
      <xdr:spPr>
        <a:xfrm>
          <a:off x="2105025" y="53054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26</xdr:row>
      <xdr:rowOff>85725</xdr:rowOff>
    </xdr:from>
    <xdr:to>
      <xdr:col>7</xdr:col>
      <xdr:colOff>9525</xdr:colOff>
      <xdr:row>26</xdr:row>
      <xdr:rowOff>85725</xdr:rowOff>
    </xdr:to>
    <xdr:sp>
      <xdr:nvSpPr>
        <xdr:cNvPr id="35" name="Line 46"/>
        <xdr:cNvSpPr>
          <a:spLocks/>
        </xdr:cNvSpPr>
      </xdr:nvSpPr>
      <xdr:spPr>
        <a:xfrm>
          <a:off x="895350" y="43338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xdr:row>
      <xdr:rowOff>95250</xdr:rowOff>
    </xdr:from>
    <xdr:to>
      <xdr:col>3</xdr:col>
      <xdr:colOff>66675</xdr:colOff>
      <xdr:row>26</xdr:row>
      <xdr:rowOff>95250</xdr:rowOff>
    </xdr:to>
    <xdr:sp>
      <xdr:nvSpPr>
        <xdr:cNvPr id="36" name="Line 47"/>
        <xdr:cNvSpPr>
          <a:spLocks/>
        </xdr:cNvSpPr>
      </xdr:nvSpPr>
      <xdr:spPr>
        <a:xfrm flipH="1">
          <a:off x="323850" y="4343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25</xdr:row>
      <xdr:rowOff>38100</xdr:rowOff>
    </xdr:from>
    <xdr:to>
      <xdr:col>2</xdr:col>
      <xdr:colOff>9525</xdr:colOff>
      <xdr:row>27</xdr:row>
      <xdr:rowOff>28575</xdr:rowOff>
    </xdr:to>
    <xdr:sp>
      <xdr:nvSpPr>
        <xdr:cNvPr id="37" name="Line 48"/>
        <xdr:cNvSpPr>
          <a:spLocks/>
        </xdr:cNvSpPr>
      </xdr:nvSpPr>
      <xdr:spPr>
        <a:xfrm>
          <a:off x="333375" y="41243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85725</xdr:rowOff>
    </xdr:from>
    <xdr:to>
      <xdr:col>3</xdr:col>
      <xdr:colOff>85725</xdr:colOff>
      <xdr:row>25</xdr:row>
      <xdr:rowOff>85725</xdr:rowOff>
    </xdr:to>
    <xdr:sp>
      <xdr:nvSpPr>
        <xdr:cNvPr id="38" name="Line 49"/>
        <xdr:cNvSpPr>
          <a:spLocks/>
        </xdr:cNvSpPr>
      </xdr:nvSpPr>
      <xdr:spPr>
        <a:xfrm flipH="1">
          <a:off x="323850" y="41719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25</xdr:row>
      <xdr:rowOff>85725</xdr:rowOff>
    </xdr:from>
    <xdr:to>
      <xdr:col>7</xdr:col>
      <xdr:colOff>9525</xdr:colOff>
      <xdr:row>25</xdr:row>
      <xdr:rowOff>85725</xdr:rowOff>
    </xdr:to>
    <xdr:sp>
      <xdr:nvSpPr>
        <xdr:cNvPr id="39" name="Line 50"/>
        <xdr:cNvSpPr>
          <a:spLocks/>
        </xdr:cNvSpPr>
      </xdr:nvSpPr>
      <xdr:spPr>
        <a:xfrm>
          <a:off x="904875" y="41719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133350</xdr:rowOff>
    </xdr:to>
    <xdr:sp>
      <xdr:nvSpPr>
        <xdr:cNvPr id="40" name="Line 52"/>
        <xdr:cNvSpPr>
          <a:spLocks/>
        </xdr:cNvSpPr>
      </xdr:nvSpPr>
      <xdr:spPr>
        <a:xfrm>
          <a:off x="1295400" y="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38100</xdr:rowOff>
    </xdr:from>
    <xdr:to>
      <xdr:col>10</xdr:col>
      <xdr:colOff>0</xdr:colOff>
      <xdr:row>0</xdr:row>
      <xdr:rowOff>133350</xdr:rowOff>
    </xdr:to>
    <xdr:sp>
      <xdr:nvSpPr>
        <xdr:cNvPr id="41" name="Line 53"/>
        <xdr:cNvSpPr>
          <a:spLocks/>
        </xdr:cNvSpPr>
      </xdr:nvSpPr>
      <xdr:spPr>
        <a:xfrm>
          <a:off x="1619250" y="381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0</xdr:row>
      <xdr:rowOff>95250</xdr:rowOff>
    </xdr:from>
    <xdr:to>
      <xdr:col>8</xdr:col>
      <xdr:colOff>19050</xdr:colOff>
      <xdr:row>0</xdr:row>
      <xdr:rowOff>95250</xdr:rowOff>
    </xdr:to>
    <xdr:sp>
      <xdr:nvSpPr>
        <xdr:cNvPr id="42" name="Line 54"/>
        <xdr:cNvSpPr>
          <a:spLocks/>
        </xdr:cNvSpPr>
      </xdr:nvSpPr>
      <xdr:spPr>
        <a:xfrm>
          <a:off x="1162050" y="952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0</xdr:row>
      <xdr:rowOff>95250</xdr:rowOff>
    </xdr:from>
    <xdr:to>
      <xdr:col>10</xdr:col>
      <xdr:colOff>123825</xdr:colOff>
      <xdr:row>0</xdr:row>
      <xdr:rowOff>95250</xdr:rowOff>
    </xdr:to>
    <xdr:sp>
      <xdr:nvSpPr>
        <xdr:cNvPr id="43" name="Line 55"/>
        <xdr:cNvSpPr>
          <a:spLocks/>
        </xdr:cNvSpPr>
      </xdr:nvSpPr>
      <xdr:spPr>
        <a:xfrm flipH="1">
          <a:off x="1609725" y="9525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26</xdr:row>
      <xdr:rowOff>85725</xdr:rowOff>
    </xdr:from>
    <xdr:to>
      <xdr:col>12</xdr:col>
      <xdr:colOff>0</xdr:colOff>
      <xdr:row>26</xdr:row>
      <xdr:rowOff>85725</xdr:rowOff>
    </xdr:to>
    <xdr:sp>
      <xdr:nvSpPr>
        <xdr:cNvPr id="44" name="Line 56"/>
        <xdr:cNvSpPr>
          <a:spLocks/>
        </xdr:cNvSpPr>
      </xdr:nvSpPr>
      <xdr:spPr>
        <a:xfrm flipH="1">
          <a:off x="1771650" y="43338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26</xdr:row>
      <xdr:rowOff>95250</xdr:rowOff>
    </xdr:from>
    <xdr:to>
      <xdr:col>17</xdr:col>
      <xdr:colOff>9525</xdr:colOff>
      <xdr:row>26</xdr:row>
      <xdr:rowOff>95250</xdr:rowOff>
    </xdr:to>
    <xdr:sp>
      <xdr:nvSpPr>
        <xdr:cNvPr id="45" name="Line 57"/>
        <xdr:cNvSpPr>
          <a:spLocks/>
        </xdr:cNvSpPr>
      </xdr:nvSpPr>
      <xdr:spPr>
        <a:xfrm>
          <a:off x="2486025" y="43434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xdr:row>
      <xdr:rowOff>19050</xdr:rowOff>
    </xdr:from>
    <xdr:to>
      <xdr:col>17</xdr:col>
      <xdr:colOff>0</xdr:colOff>
      <xdr:row>27</xdr:row>
      <xdr:rowOff>57150</xdr:rowOff>
    </xdr:to>
    <xdr:sp>
      <xdr:nvSpPr>
        <xdr:cNvPr id="46" name="Line 58"/>
        <xdr:cNvSpPr>
          <a:spLocks/>
        </xdr:cNvSpPr>
      </xdr:nvSpPr>
      <xdr:spPr>
        <a:xfrm>
          <a:off x="2752725" y="42672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xdr:row>
      <xdr:rowOff>9525</xdr:rowOff>
    </xdr:from>
    <xdr:to>
      <xdr:col>7</xdr:col>
      <xdr:colOff>114300</xdr:colOff>
      <xdr:row>4</xdr:row>
      <xdr:rowOff>9525</xdr:rowOff>
    </xdr:to>
    <xdr:sp>
      <xdr:nvSpPr>
        <xdr:cNvPr id="47" name="Line 59"/>
        <xdr:cNvSpPr>
          <a:spLocks/>
        </xdr:cNvSpPr>
      </xdr:nvSpPr>
      <xdr:spPr>
        <a:xfrm flipH="1">
          <a:off x="723900" y="6572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xdr:rowOff>
    </xdr:from>
    <xdr:to>
      <xdr:col>5</xdr:col>
      <xdr:colOff>0</xdr:colOff>
      <xdr:row>12</xdr:row>
      <xdr:rowOff>9525</xdr:rowOff>
    </xdr:to>
    <xdr:sp>
      <xdr:nvSpPr>
        <xdr:cNvPr id="48" name="Line 60"/>
        <xdr:cNvSpPr>
          <a:spLocks/>
        </xdr:cNvSpPr>
      </xdr:nvSpPr>
      <xdr:spPr>
        <a:xfrm flipV="1">
          <a:off x="809625" y="657225"/>
          <a:ext cx="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13</xdr:row>
      <xdr:rowOff>0</xdr:rowOff>
    </xdr:from>
    <xdr:to>
      <xdr:col>4</xdr:col>
      <xdr:colOff>152400</xdr:colOff>
      <xdr:row>24</xdr:row>
      <xdr:rowOff>0</xdr:rowOff>
    </xdr:to>
    <xdr:sp>
      <xdr:nvSpPr>
        <xdr:cNvPr id="49" name="Line 61"/>
        <xdr:cNvSpPr>
          <a:spLocks/>
        </xdr:cNvSpPr>
      </xdr:nvSpPr>
      <xdr:spPr>
        <a:xfrm>
          <a:off x="800100" y="2143125"/>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4</xdr:row>
      <xdr:rowOff>0</xdr:rowOff>
    </xdr:from>
    <xdr:to>
      <xdr:col>18</xdr:col>
      <xdr:colOff>38100</xdr:colOff>
      <xdr:row>4</xdr:row>
      <xdr:rowOff>0</xdr:rowOff>
    </xdr:to>
    <xdr:sp>
      <xdr:nvSpPr>
        <xdr:cNvPr id="50" name="Line 62"/>
        <xdr:cNvSpPr>
          <a:spLocks/>
        </xdr:cNvSpPr>
      </xdr:nvSpPr>
      <xdr:spPr>
        <a:xfrm>
          <a:off x="2152650" y="6477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30</xdr:row>
      <xdr:rowOff>9525</xdr:rowOff>
    </xdr:from>
    <xdr:to>
      <xdr:col>15</xdr:col>
      <xdr:colOff>38100</xdr:colOff>
      <xdr:row>31</xdr:row>
      <xdr:rowOff>152400</xdr:rowOff>
    </xdr:to>
    <xdr:sp>
      <xdr:nvSpPr>
        <xdr:cNvPr id="51" name="Line 66"/>
        <xdr:cNvSpPr>
          <a:spLocks/>
        </xdr:cNvSpPr>
      </xdr:nvSpPr>
      <xdr:spPr>
        <a:xfrm flipH="1">
          <a:off x="2466975" y="49053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xdr:row>
      <xdr:rowOff>0</xdr:rowOff>
    </xdr:from>
    <xdr:to>
      <xdr:col>15</xdr:col>
      <xdr:colOff>47625</xdr:colOff>
      <xdr:row>29</xdr:row>
      <xdr:rowOff>9525</xdr:rowOff>
    </xdr:to>
    <xdr:sp>
      <xdr:nvSpPr>
        <xdr:cNvPr id="52" name="Line 67"/>
        <xdr:cNvSpPr>
          <a:spLocks/>
        </xdr:cNvSpPr>
      </xdr:nvSpPr>
      <xdr:spPr>
        <a:xfrm flipV="1">
          <a:off x="2476500" y="4572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xdr:row>
      <xdr:rowOff>19050</xdr:rowOff>
    </xdr:from>
    <xdr:to>
      <xdr:col>18</xdr:col>
      <xdr:colOff>0</xdr:colOff>
      <xdr:row>9</xdr:row>
      <xdr:rowOff>142875</xdr:rowOff>
    </xdr:to>
    <xdr:sp>
      <xdr:nvSpPr>
        <xdr:cNvPr id="53" name="Line 69"/>
        <xdr:cNvSpPr>
          <a:spLocks/>
        </xdr:cNvSpPr>
      </xdr:nvSpPr>
      <xdr:spPr>
        <a:xfrm flipV="1">
          <a:off x="2914650" y="66675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xdr:row>
      <xdr:rowOff>0</xdr:rowOff>
    </xdr:from>
    <xdr:to>
      <xdr:col>15</xdr:col>
      <xdr:colOff>47625</xdr:colOff>
      <xdr:row>11</xdr:row>
      <xdr:rowOff>152400</xdr:rowOff>
    </xdr:to>
    <xdr:sp>
      <xdr:nvSpPr>
        <xdr:cNvPr id="54" name="Line 70"/>
        <xdr:cNvSpPr>
          <a:spLocks/>
        </xdr:cNvSpPr>
      </xdr:nvSpPr>
      <xdr:spPr>
        <a:xfrm flipV="1">
          <a:off x="2476500" y="647700"/>
          <a:ext cx="0"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11</xdr:row>
      <xdr:rowOff>19050</xdr:rowOff>
    </xdr:from>
    <xdr:to>
      <xdr:col>18</xdr:col>
      <xdr:colOff>9525</xdr:colOff>
      <xdr:row>32</xdr:row>
      <xdr:rowOff>0</xdr:rowOff>
    </xdr:to>
    <xdr:sp>
      <xdr:nvSpPr>
        <xdr:cNvPr id="55" name="Line 71"/>
        <xdr:cNvSpPr>
          <a:spLocks/>
        </xdr:cNvSpPr>
      </xdr:nvSpPr>
      <xdr:spPr>
        <a:xfrm>
          <a:off x="2924175" y="1800225"/>
          <a:ext cx="0" cy="3419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xdr:row>
      <xdr:rowOff>19050</xdr:rowOff>
    </xdr:from>
    <xdr:to>
      <xdr:col>15</xdr:col>
      <xdr:colOff>47625</xdr:colOff>
      <xdr:row>27</xdr:row>
      <xdr:rowOff>142875</xdr:rowOff>
    </xdr:to>
    <xdr:sp>
      <xdr:nvSpPr>
        <xdr:cNvPr id="56" name="Line 72"/>
        <xdr:cNvSpPr>
          <a:spLocks/>
        </xdr:cNvSpPr>
      </xdr:nvSpPr>
      <xdr:spPr>
        <a:xfrm>
          <a:off x="2476500" y="2162175"/>
          <a:ext cx="0"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32</xdr:row>
      <xdr:rowOff>0</xdr:rowOff>
    </xdr:from>
    <xdr:to>
      <xdr:col>18</xdr:col>
      <xdr:colOff>104775</xdr:colOff>
      <xdr:row>32</xdr:row>
      <xdr:rowOff>0</xdr:rowOff>
    </xdr:to>
    <xdr:sp>
      <xdr:nvSpPr>
        <xdr:cNvPr id="57" name="Line 73"/>
        <xdr:cNvSpPr>
          <a:spLocks/>
        </xdr:cNvSpPr>
      </xdr:nvSpPr>
      <xdr:spPr>
        <a:xfrm>
          <a:off x="2828925" y="5219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17</xdr:row>
      <xdr:rowOff>114300</xdr:rowOff>
    </xdr:from>
    <xdr:to>
      <xdr:col>12</xdr:col>
      <xdr:colOff>0</xdr:colOff>
      <xdr:row>19</xdr:row>
      <xdr:rowOff>19050</xdr:rowOff>
    </xdr:to>
    <xdr:sp>
      <xdr:nvSpPr>
        <xdr:cNvPr id="58" name="Line 74"/>
        <xdr:cNvSpPr>
          <a:spLocks/>
        </xdr:cNvSpPr>
      </xdr:nvSpPr>
      <xdr:spPr>
        <a:xfrm>
          <a:off x="1943100" y="2905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xdr:row>
      <xdr:rowOff>104775</xdr:rowOff>
    </xdr:from>
    <xdr:to>
      <xdr:col>10</xdr:col>
      <xdr:colOff>0</xdr:colOff>
      <xdr:row>19</xdr:row>
      <xdr:rowOff>0</xdr:rowOff>
    </xdr:to>
    <xdr:sp>
      <xdr:nvSpPr>
        <xdr:cNvPr id="59" name="Line 75"/>
        <xdr:cNvSpPr>
          <a:spLocks/>
        </xdr:cNvSpPr>
      </xdr:nvSpPr>
      <xdr:spPr>
        <a:xfrm>
          <a:off x="1619250" y="2895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76200</xdr:rowOff>
    </xdr:from>
    <xdr:to>
      <xdr:col>11</xdr:col>
      <xdr:colOff>0</xdr:colOff>
      <xdr:row>29</xdr:row>
      <xdr:rowOff>152400</xdr:rowOff>
    </xdr:to>
    <xdr:sp>
      <xdr:nvSpPr>
        <xdr:cNvPr id="60" name="Line 76"/>
        <xdr:cNvSpPr>
          <a:spLocks/>
        </xdr:cNvSpPr>
      </xdr:nvSpPr>
      <xdr:spPr>
        <a:xfrm>
          <a:off x="1781175" y="4648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24</xdr:row>
      <xdr:rowOff>104775</xdr:rowOff>
    </xdr:from>
    <xdr:to>
      <xdr:col>8</xdr:col>
      <xdr:colOff>0</xdr:colOff>
      <xdr:row>25</xdr:row>
      <xdr:rowOff>152400</xdr:rowOff>
    </xdr:to>
    <xdr:sp>
      <xdr:nvSpPr>
        <xdr:cNvPr id="61" name="Line 77"/>
        <xdr:cNvSpPr>
          <a:spLocks/>
        </xdr:cNvSpPr>
      </xdr:nvSpPr>
      <xdr:spPr>
        <a:xfrm>
          <a:off x="1295400" y="40290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28</xdr:row>
      <xdr:rowOff>152400</xdr:rowOff>
    </xdr:from>
    <xdr:to>
      <xdr:col>1</xdr:col>
      <xdr:colOff>9525</xdr:colOff>
      <xdr:row>32</xdr:row>
      <xdr:rowOff>0</xdr:rowOff>
    </xdr:to>
    <xdr:sp>
      <xdr:nvSpPr>
        <xdr:cNvPr id="62" name="Line 149"/>
        <xdr:cNvSpPr>
          <a:spLocks/>
        </xdr:cNvSpPr>
      </xdr:nvSpPr>
      <xdr:spPr>
        <a:xfrm>
          <a:off x="171450" y="472440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142875</xdr:rowOff>
    </xdr:from>
    <xdr:to>
      <xdr:col>1</xdr:col>
      <xdr:colOff>0</xdr:colOff>
      <xdr:row>27</xdr:row>
      <xdr:rowOff>142875</xdr:rowOff>
    </xdr:to>
    <xdr:sp>
      <xdr:nvSpPr>
        <xdr:cNvPr id="63" name="Line 150"/>
        <xdr:cNvSpPr>
          <a:spLocks/>
        </xdr:cNvSpPr>
      </xdr:nvSpPr>
      <xdr:spPr>
        <a:xfrm flipV="1">
          <a:off x="161925" y="39052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28</xdr:row>
      <xdr:rowOff>0</xdr:rowOff>
    </xdr:from>
    <xdr:to>
      <xdr:col>35</xdr:col>
      <xdr:colOff>9525</xdr:colOff>
      <xdr:row>32</xdr:row>
      <xdr:rowOff>0</xdr:rowOff>
    </xdr:to>
    <xdr:sp>
      <xdr:nvSpPr>
        <xdr:cNvPr id="64" name="Line 151"/>
        <xdr:cNvSpPr>
          <a:spLocks/>
        </xdr:cNvSpPr>
      </xdr:nvSpPr>
      <xdr:spPr>
        <a:xfrm>
          <a:off x="5676900" y="4572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32</xdr:row>
      <xdr:rowOff>0</xdr:rowOff>
    </xdr:from>
    <xdr:to>
      <xdr:col>50</xdr:col>
      <xdr:colOff>152400</xdr:colOff>
      <xdr:row>32</xdr:row>
      <xdr:rowOff>0</xdr:rowOff>
    </xdr:to>
    <xdr:sp>
      <xdr:nvSpPr>
        <xdr:cNvPr id="65" name="Line 152"/>
        <xdr:cNvSpPr>
          <a:spLocks/>
        </xdr:cNvSpPr>
      </xdr:nvSpPr>
      <xdr:spPr>
        <a:xfrm>
          <a:off x="7286625" y="52197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xdr:row>
      <xdr:rowOff>9525</xdr:rowOff>
    </xdr:from>
    <xdr:to>
      <xdr:col>42</xdr:col>
      <xdr:colOff>0</xdr:colOff>
      <xdr:row>31</xdr:row>
      <xdr:rowOff>152400</xdr:rowOff>
    </xdr:to>
    <xdr:sp>
      <xdr:nvSpPr>
        <xdr:cNvPr id="66" name="Line 153"/>
        <xdr:cNvSpPr>
          <a:spLocks/>
        </xdr:cNvSpPr>
      </xdr:nvSpPr>
      <xdr:spPr>
        <a:xfrm flipV="1">
          <a:off x="6800850" y="657225"/>
          <a:ext cx="0" cy="4552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27</xdr:row>
      <xdr:rowOff>142875</xdr:rowOff>
    </xdr:from>
    <xdr:to>
      <xdr:col>40</xdr:col>
      <xdr:colOff>0</xdr:colOff>
      <xdr:row>27</xdr:row>
      <xdr:rowOff>142875</xdr:rowOff>
    </xdr:to>
    <xdr:sp>
      <xdr:nvSpPr>
        <xdr:cNvPr id="67" name="Line 154"/>
        <xdr:cNvSpPr>
          <a:spLocks/>
        </xdr:cNvSpPr>
      </xdr:nvSpPr>
      <xdr:spPr>
        <a:xfrm>
          <a:off x="5667375" y="4552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xdr:colOff>
      <xdr:row>27</xdr:row>
      <xdr:rowOff>152400</xdr:rowOff>
    </xdr:from>
    <xdr:to>
      <xdr:col>50</xdr:col>
      <xdr:colOff>152400</xdr:colOff>
      <xdr:row>27</xdr:row>
      <xdr:rowOff>152400</xdr:rowOff>
    </xdr:to>
    <xdr:sp>
      <xdr:nvSpPr>
        <xdr:cNvPr id="68" name="Line 155"/>
        <xdr:cNvSpPr>
          <a:spLocks/>
        </xdr:cNvSpPr>
      </xdr:nvSpPr>
      <xdr:spPr>
        <a:xfrm>
          <a:off x="7296150" y="4562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27</xdr:row>
      <xdr:rowOff>142875</xdr:rowOff>
    </xdr:from>
    <xdr:to>
      <xdr:col>51</xdr:col>
      <xdr:colOff>0</xdr:colOff>
      <xdr:row>32</xdr:row>
      <xdr:rowOff>0</xdr:rowOff>
    </xdr:to>
    <xdr:sp>
      <xdr:nvSpPr>
        <xdr:cNvPr id="69" name="Line 156"/>
        <xdr:cNvSpPr>
          <a:spLocks/>
        </xdr:cNvSpPr>
      </xdr:nvSpPr>
      <xdr:spPr>
        <a:xfrm flipV="1">
          <a:off x="8258175" y="45529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3</xdr:row>
      <xdr:rowOff>152400</xdr:rowOff>
    </xdr:from>
    <xdr:to>
      <xdr:col>40</xdr:col>
      <xdr:colOff>152400</xdr:colOff>
      <xdr:row>28</xdr:row>
      <xdr:rowOff>0</xdr:rowOff>
    </xdr:to>
    <xdr:sp>
      <xdr:nvSpPr>
        <xdr:cNvPr id="70" name="Line 157"/>
        <xdr:cNvSpPr>
          <a:spLocks/>
        </xdr:cNvSpPr>
      </xdr:nvSpPr>
      <xdr:spPr>
        <a:xfrm flipV="1">
          <a:off x="6467475" y="638175"/>
          <a:ext cx="161925" cy="393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3</xdr:row>
      <xdr:rowOff>152400</xdr:rowOff>
    </xdr:from>
    <xdr:to>
      <xdr:col>45</xdr:col>
      <xdr:colOff>0</xdr:colOff>
      <xdr:row>27</xdr:row>
      <xdr:rowOff>152400</xdr:rowOff>
    </xdr:to>
    <xdr:sp>
      <xdr:nvSpPr>
        <xdr:cNvPr id="71" name="Line 158"/>
        <xdr:cNvSpPr>
          <a:spLocks/>
        </xdr:cNvSpPr>
      </xdr:nvSpPr>
      <xdr:spPr>
        <a:xfrm flipH="1" flipV="1">
          <a:off x="7134225" y="638175"/>
          <a:ext cx="152400" cy="392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4</xdr:row>
      <xdr:rowOff>0</xdr:rowOff>
    </xdr:from>
    <xdr:to>
      <xdr:col>44</xdr:col>
      <xdr:colOff>9525</xdr:colOff>
      <xdr:row>4</xdr:row>
      <xdr:rowOff>0</xdr:rowOff>
    </xdr:to>
    <xdr:sp>
      <xdr:nvSpPr>
        <xdr:cNvPr id="72" name="Line 159"/>
        <xdr:cNvSpPr>
          <a:spLocks/>
        </xdr:cNvSpPr>
      </xdr:nvSpPr>
      <xdr:spPr>
        <a:xfrm>
          <a:off x="6629400" y="6477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24</xdr:row>
      <xdr:rowOff>0</xdr:rowOff>
    </xdr:from>
    <xdr:to>
      <xdr:col>40</xdr:col>
      <xdr:colOff>0</xdr:colOff>
      <xdr:row>24</xdr:row>
      <xdr:rowOff>0</xdr:rowOff>
    </xdr:to>
    <xdr:sp>
      <xdr:nvSpPr>
        <xdr:cNvPr id="73" name="Line 160"/>
        <xdr:cNvSpPr>
          <a:spLocks/>
        </xdr:cNvSpPr>
      </xdr:nvSpPr>
      <xdr:spPr>
        <a:xfrm flipH="1">
          <a:off x="5505450" y="39243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85725</xdr:colOff>
      <xdr:row>24</xdr:row>
      <xdr:rowOff>9525</xdr:rowOff>
    </xdr:from>
    <xdr:to>
      <xdr:col>39</xdr:col>
      <xdr:colOff>133350</xdr:colOff>
      <xdr:row>24</xdr:row>
      <xdr:rowOff>95250</xdr:rowOff>
    </xdr:to>
    <xdr:sp>
      <xdr:nvSpPr>
        <xdr:cNvPr id="74" name="Line 161"/>
        <xdr:cNvSpPr>
          <a:spLocks/>
        </xdr:cNvSpPr>
      </xdr:nvSpPr>
      <xdr:spPr>
        <a:xfrm flipH="1">
          <a:off x="640080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0</xdr:rowOff>
    </xdr:from>
    <xdr:to>
      <xdr:col>39</xdr:col>
      <xdr:colOff>57150</xdr:colOff>
      <xdr:row>24</xdr:row>
      <xdr:rowOff>95250</xdr:rowOff>
    </xdr:to>
    <xdr:sp>
      <xdr:nvSpPr>
        <xdr:cNvPr id="75" name="Line 162"/>
        <xdr:cNvSpPr>
          <a:spLocks/>
        </xdr:cNvSpPr>
      </xdr:nvSpPr>
      <xdr:spPr>
        <a:xfrm flipH="1">
          <a:off x="631507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85725</xdr:colOff>
      <xdr:row>24</xdr:row>
      <xdr:rowOff>9525</xdr:rowOff>
    </xdr:from>
    <xdr:to>
      <xdr:col>35</xdr:col>
      <xdr:colOff>133350</xdr:colOff>
      <xdr:row>24</xdr:row>
      <xdr:rowOff>95250</xdr:rowOff>
    </xdr:to>
    <xdr:sp>
      <xdr:nvSpPr>
        <xdr:cNvPr id="76" name="Line 163"/>
        <xdr:cNvSpPr>
          <a:spLocks/>
        </xdr:cNvSpPr>
      </xdr:nvSpPr>
      <xdr:spPr>
        <a:xfrm flipH="1">
          <a:off x="575310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0</xdr:rowOff>
    </xdr:from>
    <xdr:to>
      <xdr:col>35</xdr:col>
      <xdr:colOff>57150</xdr:colOff>
      <xdr:row>24</xdr:row>
      <xdr:rowOff>95250</xdr:rowOff>
    </xdr:to>
    <xdr:sp>
      <xdr:nvSpPr>
        <xdr:cNvPr id="77" name="Line 164"/>
        <xdr:cNvSpPr>
          <a:spLocks/>
        </xdr:cNvSpPr>
      </xdr:nvSpPr>
      <xdr:spPr>
        <a:xfrm flipH="1">
          <a:off x="566737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9525</xdr:rowOff>
    </xdr:from>
    <xdr:to>
      <xdr:col>36</xdr:col>
      <xdr:colOff>0</xdr:colOff>
      <xdr:row>24</xdr:row>
      <xdr:rowOff>95250</xdr:rowOff>
    </xdr:to>
    <xdr:sp>
      <xdr:nvSpPr>
        <xdr:cNvPr id="78" name="Line 165"/>
        <xdr:cNvSpPr>
          <a:spLocks/>
        </xdr:cNvSpPr>
      </xdr:nvSpPr>
      <xdr:spPr>
        <a:xfrm flipH="1">
          <a:off x="58293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0</xdr:colOff>
      <xdr:row>24</xdr:row>
      <xdr:rowOff>95250</xdr:rowOff>
    </xdr:to>
    <xdr:sp>
      <xdr:nvSpPr>
        <xdr:cNvPr id="79" name="Line 166"/>
        <xdr:cNvSpPr>
          <a:spLocks/>
        </xdr:cNvSpPr>
      </xdr:nvSpPr>
      <xdr:spPr>
        <a:xfrm flipH="1">
          <a:off x="58293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9525</xdr:rowOff>
    </xdr:from>
    <xdr:to>
      <xdr:col>36</xdr:col>
      <xdr:colOff>0</xdr:colOff>
      <xdr:row>24</xdr:row>
      <xdr:rowOff>95250</xdr:rowOff>
    </xdr:to>
    <xdr:sp>
      <xdr:nvSpPr>
        <xdr:cNvPr id="80" name="Line 167"/>
        <xdr:cNvSpPr>
          <a:spLocks/>
        </xdr:cNvSpPr>
      </xdr:nvSpPr>
      <xdr:spPr>
        <a:xfrm flipH="1">
          <a:off x="58293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0</xdr:colOff>
      <xdr:row>24</xdr:row>
      <xdr:rowOff>95250</xdr:rowOff>
    </xdr:to>
    <xdr:sp>
      <xdr:nvSpPr>
        <xdr:cNvPr id="81" name="Line 168"/>
        <xdr:cNvSpPr>
          <a:spLocks/>
        </xdr:cNvSpPr>
      </xdr:nvSpPr>
      <xdr:spPr>
        <a:xfrm flipH="1">
          <a:off x="58293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9525</xdr:rowOff>
    </xdr:from>
    <xdr:to>
      <xdr:col>36</xdr:col>
      <xdr:colOff>0</xdr:colOff>
      <xdr:row>24</xdr:row>
      <xdr:rowOff>95250</xdr:rowOff>
    </xdr:to>
    <xdr:sp>
      <xdr:nvSpPr>
        <xdr:cNvPr id="82" name="Line 169"/>
        <xdr:cNvSpPr>
          <a:spLocks/>
        </xdr:cNvSpPr>
      </xdr:nvSpPr>
      <xdr:spPr>
        <a:xfrm flipH="1">
          <a:off x="58293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0</xdr:colOff>
      <xdr:row>24</xdr:row>
      <xdr:rowOff>95250</xdr:rowOff>
    </xdr:to>
    <xdr:sp>
      <xdr:nvSpPr>
        <xdr:cNvPr id="83" name="Line 170"/>
        <xdr:cNvSpPr>
          <a:spLocks/>
        </xdr:cNvSpPr>
      </xdr:nvSpPr>
      <xdr:spPr>
        <a:xfrm flipH="1">
          <a:off x="58293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9525</xdr:rowOff>
    </xdr:from>
    <xdr:to>
      <xdr:col>36</xdr:col>
      <xdr:colOff>0</xdr:colOff>
      <xdr:row>24</xdr:row>
      <xdr:rowOff>95250</xdr:rowOff>
    </xdr:to>
    <xdr:sp>
      <xdr:nvSpPr>
        <xdr:cNvPr id="84" name="Line 171"/>
        <xdr:cNvSpPr>
          <a:spLocks/>
        </xdr:cNvSpPr>
      </xdr:nvSpPr>
      <xdr:spPr>
        <a:xfrm flipH="1">
          <a:off x="58293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0</xdr:colOff>
      <xdr:row>24</xdr:row>
      <xdr:rowOff>95250</xdr:rowOff>
    </xdr:to>
    <xdr:sp>
      <xdr:nvSpPr>
        <xdr:cNvPr id="85" name="Line 172"/>
        <xdr:cNvSpPr>
          <a:spLocks/>
        </xdr:cNvSpPr>
      </xdr:nvSpPr>
      <xdr:spPr>
        <a:xfrm flipH="1">
          <a:off x="58293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9525</xdr:rowOff>
    </xdr:from>
    <xdr:to>
      <xdr:col>36</xdr:col>
      <xdr:colOff>0</xdr:colOff>
      <xdr:row>24</xdr:row>
      <xdr:rowOff>95250</xdr:rowOff>
    </xdr:to>
    <xdr:sp>
      <xdr:nvSpPr>
        <xdr:cNvPr id="86" name="Line 173"/>
        <xdr:cNvSpPr>
          <a:spLocks/>
        </xdr:cNvSpPr>
      </xdr:nvSpPr>
      <xdr:spPr>
        <a:xfrm flipH="1">
          <a:off x="58293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0</xdr:colOff>
      <xdr:row>24</xdr:row>
      <xdr:rowOff>95250</xdr:rowOff>
    </xdr:to>
    <xdr:sp>
      <xdr:nvSpPr>
        <xdr:cNvPr id="87" name="Line 174"/>
        <xdr:cNvSpPr>
          <a:spLocks/>
        </xdr:cNvSpPr>
      </xdr:nvSpPr>
      <xdr:spPr>
        <a:xfrm flipH="1">
          <a:off x="58293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85725</xdr:colOff>
      <xdr:row>24</xdr:row>
      <xdr:rowOff>9525</xdr:rowOff>
    </xdr:from>
    <xdr:to>
      <xdr:col>36</xdr:col>
      <xdr:colOff>133350</xdr:colOff>
      <xdr:row>24</xdr:row>
      <xdr:rowOff>95250</xdr:rowOff>
    </xdr:to>
    <xdr:sp>
      <xdr:nvSpPr>
        <xdr:cNvPr id="88" name="Line 175"/>
        <xdr:cNvSpPr>
          <a:spLocks/>
        </xdr:cNvSpPr>
      </xdr:nvSpPr>
      <xdr:spPr>
        <a:xfrm flipH="1">
          <a:off x="591502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0</xdr:rowOff>
    </xdr:from>
    <xdr:to>
      <xdr:col>36</xdr:col>
      <xdr:colOff>57150</xdr:colOff>
      <xdr:row>24</xdr:row>
      <xdr:rowOff>95250</xdr:rowOff>
    </xdr:to>
    <xdr:sp>
      <xdr:nvSpPr>
        <xdr:cNvPr id="89" name="Line 176"/>
        <xdr:cNvSpPr>
          <a:spLocks/>
        </xdr:cNvSpPr>
      </xdr:nvSpPr>
      <xdr:spPr>
        <a:xfrm flipH="1">
          <a:off x="582930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85725</xdr:colOff>
      <xdr:row>24</xdr:row>
      <xdr:rowOff>9525</xdr:rowOff>
    </xdr:from>
    <xdr:to>
      <xdr:col>37</xdr:col>
      <xdr:colOff>133350</xdr:colOff>
      <xdr:row>24</xdr:row>
      <xdr:rowOff>95250</xdr:rowOff>
    </xdr:to>
    <xdr:sp>
      <xdr:nvSpPr>
        <xdr:cNvPr id="90" name="Line 177"/>
        <xdr:cNvSpPr>
          <a:spLocks/>
        </xdr:cNvSpPr>
      </xdr:nvSpPr>
      <xdr:spPr>
        <a:xfrm flipH="1">
          <a:off x="607695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24</xdr:row>
      <xdr:rowOff>0</xdr:rowOff>
    </xdr:from>
    <xdr:to>
      <xdr:col>37</xdr:col>
      <xdr:colOff>57150</xdr:colOff>
      <xdr:row>24</xdr:row>
      <xdr:rowOff>95250</xdr:rowOff>
    </xdr:to>
    <xdr:sp>
      <xdr:nvSpPr>
        <xdr:cNvPr id="91" name="Line 178"/>
        <xdr:cNvSpPr>
          <a:spLocks/>
        </xdr:cNvSpPr>
      </xdr:nvSpPr>
      <xdr:spPr>
        <a:xfrm flipH="1">
          <a:off x="599122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85725</xdr:colOff>
      <xdr:row>24</xdr:row>
      <xdr:rowOff>9525</xdr:rowOff>
    </xdr:from>
    <xdr:to>
      <xdr:col>38</xdr:col>
      <xdr:colOff>133350</xdr:colOff>
      <xdr:row>24</xdr:row>
      <xdr:rowOff>95250</xdr:rowOff>
    </xdr:to>
    <xdr:sp>
      <xdr:nvSpPr>
        <xdr:cNvPr id="92" name="Line 179"/>
        <xdr:cNvSpPr>
          <a:spLocks/>
        </xdr:cNvSpPr>
      </xdr:nvSpPr>
      <xdr:spPr>
        <a:xfrm flipH="1">
          <a:off x="623887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24</xdr:row>
      <xdr:rowOff>0</xdr:rowOff>
    </xdr:from>
    <xdr:to>
      <xdr:col>38</xdr:col>
      <xdr:colOff>57150</xdr:colOff>
      <xdr:row>24</xdr:row>
      <xdr:rowOff>95250</xdr:rowOff>
    </xdr:to>
    <xdr:sp>
      <xdr:nvSpPr>
        <xdr:cNvPr id="93" name="Line 180"/>
        <xdr:cNvSpPr>
          <a:spLocks/>
        </xdr:cNvSpPr>
      </xdr:nvSpPr>
      <xdr:spPr>
        <a:xfrm flipH="1">
          <a:off x="615315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152400</xdr:colOff>
      <xdr:row>26</xdr:row>
      <xdr:rowOff>85725</xdr:rowOff>
    </xdr:from>
    <xdr:to>
      <xdr:col>40</xdr:col>
      <xdr:colOff>9525</xdr:colOff>
      <xdr:row>26</xdr:row>
      <xdr:rowOff>85725</xdr:rowOff>
    </xdr:to>
    <xdr:sp>
      <xdr:nvSpPr>
        <xdr:cNvPr id="94" name="Line 185"/>
        <xdr:cNvSpPr>
          <a:spLocks/>
        </xdr:cNvSpPr>
      </xdr:nvSpPr>
      <xdr:spPr>
        <a:xfrm>
          <a:off x="6143625" y="43338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26</xdr:row>
      <xdr:rowOff>95250</xdr:rowOff>
    </xdr:from>
    <xdr:to>
      <xdr:col>36</xdr:col>
      <xdr:colOff>0</xdr:colOff>
      <xdr:row>26</xdr:row>
      <xdr:rowOff>95250</xdr:rowOff>
    </xdr:to>
    <xdr:sp>
      <xdr:nvSpPr>
        <xdr:cNvPr id="95" name="Line 186"/>
        <xdr:cNvSpPr>
          <a:spLocks/>
        </xdr:cNvSpPr>
      </xdr:nvSpPr>
      <xdr:spPr>
        <a:xfrm flipH="1">
          <a:off x="5667375" y="43434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25</xdr:row>
      <xdr:rowOff>38100</xdr:rowOff>
    </xdr:from>
    <xdr:to>
      <xdr:col>35</xdr:col>
      <xdr:colOff>9525</xdr:colOff>
      <xdr:row>27</xdr:row>
      <xdr:rowOff>28575</xdr:rowOff>
    </xdr:to>
    <xdr:sp>
      <xdr:nvSpPr>
        <xdr:cNvPr id="96" name="Line 187"/>
        <xdr:cNvSpPr>
          <a:spLocks/>
        </xdr:cNvSpPr>
      </xdr:nvSpPr>
      <xdr:spPr>
        <a:xfrm>
          <a:off x="5676900" y="41243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25</xdr:row>
      <xdr:rowOff>85725</xdr:rowOff>
    </xdr:from>
    <xdr:to>
      <xdr:col>36</xdr:col>
      <xdr:colOff>0</xdr:colOff>
      <xdr:row>25</xdr:row>
      <xdr:rowOff>85725</xdr:rowOff>
    </xdr:to>
    <xdr:sp>
      <xdr:nvSpPr>
        <xdr:cNvPr id="97" name="Line 188"/>
        <xdr:cNvSpPr>
          <a:spLocks/>
        </xdr:cNvSpPr>
      </xdr:nvSpPr>
      <xdr:spPr>
        <a:xfrm flipH="1">
          <a:off x="5667375" y="41719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25</xdr:row>
      <xdr:rowOff>85725</xdr:rowOff>
    </xdr:from>
    <xdr:to>
      <xdr:col>51</xdr:col>
      <xdr:colOff>0</xdr:colOff>
      <xdr:row>25</xdr:row>
      <xdr:rowOff>85725</xdr:rowOff>
    </xdr:to>
    <xdr:sp>
      <xdr:nvSpPr>
        <xdr:cNvPr id="98" name="Line 189"/>
        <xdr:cNvSpPr>
          <a:spLocks/>
        </xdr:cNvSpPr>
      </xdr:nvSpPr>
      <xdr:spPr>
        <a:xfrm>
          <a:off x="6172200" y="4171950"/>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0</xdr:row>
      <xdr:rowOff>28575</xdr:rowOff>
    </xdr:from>
    <xdr:to>
      <xdr:col>41</xdr:col>
      <xdr:colOff>0</xdr:colOff>
      <xdr:row>0</xdr:row>
      <xdr:rowOff>142875</xdr:rowOff>
    </xdr:to>
    <xdr:sp>
      <xdr:nvSpPr>
        <xdr:cNvPr id="99" name="Line 190"/>
        <xdr:cNvSpPr>
          <a:spLocks/>
        </xdr:cNvSpPr>
      </xdr:nvSpPr>
      <xdr:spPr>
        <a:xfrm>
          <a:off x="6638925" y="285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0</xdr:row>
      <xdr:rowOff>38100</xdr:rowOff>
    </xdr:from>
    <xdr:to>
      <xdr:col>43</xdr:col>
      <xdr:colOff>0</xdr:colOff>
      <xdr:row>0</xdr:row>
      <xdr:rowOff>152400</xdr:rowOff>
    </xdr:to>
    <xdr:sp>
      <xdr:nvSpPr>
        <xdr:cNvPr id="100" name="Line 191"/>
        <xdr:cNvSpPr>
          <a:spLocks/>
        </xdr:cNvSpPr>
      </xdr:nvSpPr>
      <xdr:spPr>
        <a:xfrm>
          <a:off x="6962775" y="38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28575</xdr:colOff>
      <xdr:row>0</xdr:row>
      <xdr:rowOff>95250</xdr:rowOff>
    </xdr:from>
    <xdr:to>
      <xdr:col>41</xdr:col>
      <xdr:colOff>19050</xdr:colOff>
      <xdr:row>0</xdr:row>
      <xdr:rowOff>95250</xdr:rowOff>
    </xdr:to>
    <xdr:sp>
      <xdr:nvSpPr>
        <xdr:cNvPr id="101" name="Line 192"/>
        <xdr:cNvSpPr>
          <a:spLocks/>
        </xdr:cNvSpPr>
      </xdr:nvSpPr>
      <xdr:spPr>
        <a:xfrm>
          <a:off x="6505575" y="952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152400</xdr:colOff>
      <xdr:row>0</xdr:row>
      <xdr:rowOff>95250</xdr:rowOff>
    </xdr:from>
    <xdr:to>
      <xdr:col>44</xdr:col>
      <xdr:colOff>123825</xdr:colOff>
      <xdr:row>0</xdr:row>
      <xdr:rowOff>95250</xdr:rowOff>
    </xdr:to>
    <xdr:sp>
      <xdr:nvSpPr>
        <xdr:cNvPr id="102" name="Line 193"/>
        <xdr:cNvSpPr>
          <a:spLocks/>
        </xdr:cNvSpPr>
      </xdr:nvSpPr>
      <xdr:spPr>
        <a:xfrm flipH="1">
          <a:off x="6953250" y="95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152400</xdr:colOff>
      <xdr:row>26</xdr:row>
      <xdr:rowOff>85725</xdr:rowOff>
    </xdr:from>
    <xdr:to>
      <xdr:col>46</xdr:col>
      <xdr:colOff>0</xdr:colOff>
      <xdr:row>26</xdr:row>
      <xdr:rowOff>85725</xdr:rowOff>
    </xdr:to>
    <xdr:sp>
      <xdr:nvSpPr>
        <xdr:cNvPr id="103" name="Line 194"/>
        <xdr:cNvSpPr>
          <a:spLocks/>
        </xdr:cNvSpPr>
      </xdr:nvSpPr>
      <xdr:spPr>
        <a:xfrm flipH="1">
          <a:off x="7277100" y="43338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57150</xdr:colOff>
      <xdr:row>26</xdr:row>
      <xdr:rowOff>85725</xdr:rowOff>
    </xdr:from>
    <xdr:to>
      <xdr:col>51</xdr:col>
      <xdr:colOff>9525</xdr:colOff>
      <xdr:row>26</xdr:row>
      <xdr:rowOff>95250</xdr:rowOff>
    </xdr:to>
    <xdr:sp>
      <xdr:nvSpPr>
        <xdr:cNvPr id="104" name="Line 195"/>
        <xdr:cNvSpPr>
          <a:spLocks/>
        </xdr:cNvSpPr>
      </xdr:nvSpPr>
      <xdr:spPr>
        <a:xfrm>
          <a:off x="7991475" y="4333875"/>
          <a:ext cx="2762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25</xdr:row>
      <xdr:rowOff>38100</xdr:rowOff>
    </xdr:from>
    <xdr:to>
      <xdr:col>51</xdr:col>
      <xdr:colOff>9525</xdr:colOff>
      <xdr:row>27</xdr:row>
      <xdr:rowOff>47625</xdr:rowOff>
    </xdr:to>
    <xdr:sp>
      <xdr:nvSpPr>
        <xdr:cNvPr id="105" name="Line 196"/>
        <xdr:cNvSpPr>
          <a:spLocks/>
        </xdr:cNvSpPr>
      </xdr:nvSpPr>
      <xdr:spPr>
        <a:xfrm>
          <a:off x="8258175" y="4124325"/>
          <a:ext cx="95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76200</xdr:colOff>
      <xdr:row>4</xdr:row>
      <xdr:rowOff>9525</xdr:rowOff>
    </xdr:from>
    <xdr:to>
      <xdr:col>38</xdr:col>
      <xdr:colOff>123825</xdr:colOff>
      <xdr:row>4</xdr:row>
      <xdr:rowOff>9525</xdr:rowOff>
    </xdr:to>
    <xdr:sp>
      <xdr:nvSpPr>
        <xdr:cNvPr id="106" name="Line 197"/>
        <xdr:cNvSpPr>
          <a:spLocks/>
        </xdr:cNvSpPr>
      </xdr:nvSpPr>
      <xdr:spPr>
        <a:xfrm flipH="1">
          <a:off x="6067425" y="6572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4</xdr:row>
      <xdr:rowOff>9525</xdr:rowOff>
    </xdr:from>
    <xdr:to>
      <xdr:col>38</xdr:col>
      <xdr:colOff>0</xdr:colOff>
      <xdr:row>12</xdr:row>
      <xdr:rowOff>9525</xdr:rowOff>
    </xdr:to>
    <xdr:sp>
      <xdr:nvSpPr>
        <xdr:cNvPr id="107" name="Line 198"/>
        <xdr:cNvSpPr>
          <a:spLocks/>
        </xdr:cNvSpPr>
      </xdr:nvSpPr>
      <xdr:spPr>
        <a:xfrm flipV="1">
          <a:off x="6153150" y="657225"/>
          <a:ext cx="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152400</xdr:colOff>
      <xdr:row>13</xdr:row>
      <xdr:rowOff>0</xdr:rowOff>
    </xdr:from>
    <xdr:to>
      <xdr:col>37</xdr:col>
      <xdr:colOff>152400</xdr:colOff>
      <xdr:row>24</xdr:row>
      <xdr:rowOff>0</xdr:rowOff>
    </xdr:to>
    <xdr:sp>
      <xdr:nvSpPr>
        <xdr:cNvPr id="108" name="Line 199"/>
        <xdr:cNvSpPr>
          <a:spLocks/>
        </xdr:cNvSpPr>
      </xdr:nvSpPr>
      <xdr:spPr>
        <a:xfrm>
          <a:off x="6143625" y="2143125"/>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19050</xdr:colOff>
      <xdr:row>3</xdr:row>
      <xdr:rowOff>152400</xdr:rowOff>
    </xdr:from>
    <xdr:to>
      <xdr:col>52</xdr:col>
      <xdr:colOff>38100</xdr:colOff>
      <xdr:row>3</xdr:row>
      <xdr:rowOff>152400</xdr:rowOff>
    </xdr:to>
    <xdr:sp>
      <xdr:nvSpPr>
        <xdr:cNvPr id="109" name="Line 200"/>
        <xdr:cNvSpPr>
          <a:spLocks/>
        </xdr:cNvSpPr>
      </xdr:nvSpPr>
      <xdr:spPr>
        <a:xfrm>
          <a:off x="7143750" y="638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29</xdr:row>
      <xdr:rowOff>152400</xdr:rowOff>
    </xdr:from>
    <xdr:to>
      <xdr:col>49</xdr:col>
      <xdr:colOff>9525</xdr:colOff>
      <xdr:row>31</xdr:row>
      <xdr:rowOff>152400</xdr:rowOff>
    </xdr:to>
    <xdr:sp>
      <xdr:nvSpPr>
        <xdr:cNvPr id="110" name="Line 201"/>
        <xdr:cNvSpPr>
          <a:spLocks/>
        </xdr:cNvSpPr>
      </xdr:nvSpPr>
      <xdr:spPr>
        <a:xfrm>
          <a:off x="7934325" y="488632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9525</xdr:colOff>
      <xdr:row>28</xdr:row>
      <xdr:rowOff>0</xdr:rowOff>
    </xdr:from>
    <xdr:to>
      <xdr:col>49</xdr:col>
      <xdr:colOff>9525</xdr:colOff>
      <xdr:row>29</xdr:row>
      <xdr:rowOff>9525</xdr:rowOff>
    </xdr:to>
    <xdr:sp>
      <xdr:nvSpPr>
        <xdr:cNvPr id="111" name="Line 202"/>
        <xdr:cNvSpPr>
          <a:spLocks/>
        </xdr:cNvSpPr>
      </xdr:nvSpPr>
      <xdr:spPr>
        <a:xfrm flipV="1">
          <a:off x="7943850" y="4572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0</xdr:colOff>
      <xdr:row>3</xdr:row>
      <xdr:rowOff>152400</xdr:rowOff>
    </xdr:from>
    <xdr:to>
      <xdr:col>52</xdr:col>
      <xdr:colOff>0</xdr:colOff>
      <xdr:row>9</xdr:row>
      <xdr:rowOff>114300</xdr:rowOff>
    </xdr:to>
    <xdr:sp>
      <xdr:nvSpPr>
        <xdr:cNvPr id="112" name="Line 203"/>
        <xdr:cNvSpPr>
          <a:spLocks/>
        </xdr:cNvSpPr>
      </xdr:nvSpPr>
      <xdr:spPr>
        <a:xfrm flipV="1">
          <a:off x="8420100" y="638175"/>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xdr:row>
      <xdr:rowOff>0</xdr:rowOff>
    </xdr:from>
    <xdr:to>
      <xdr:col>49</xdr:col>
      <xdr:colOff>0</xdr:colOff>
      <xdr:row>11</xdr:row>
      <xdr:rowOff>152400</xdr:rowOff>
    </xdr:to>
    <xdr:sp>
      <xdr:nvSpPr>
        <xdr:cNvPr id="113" name="Line 204"/>
        <xdr:cNvSpPr>
          <a:spLocks/>
        </xdr:cNvSpPr>
      </xdr:nvSpPr>
      <xdr:spPr>
        <a:xfrm flipV="1">
          <a:off x="7934325" y="647700"/>
          <a:ext cx="0"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9525</xdr:colOff>
      <xdr:row>11</xdr:row>
      <xdr:rowOff>19050</xdr:rowOff>
    </xdr:from>
    <xdr:to>
      <xdr:col>52</xdr:col>
      <xdr:colOff>9525</xdr:colOff>
      <xdr:row>32</xdr:row>
      <xdr:rowOff>0</xdr:rowOff>
    </xdr:to>
    <xdr:sp>
      <xdr:nvSpPr>
        <xdr:cNvPr id="114" name="Line 205"/>
        <xdr:cNvSpPr>
          <a:spLocks/>
        </xdr:cNvSpPr>
      </xdr:nvSpPr>
      <xdr:spPr>
        <a:xfrm>
          <a:off x="8429625" y="1800225"/>
          <a:ext cx="0" cy="3419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13</xdr:row>
      <xdr:rowOff>19050</xdr:rowOff>
    </xdr:from>
    <xdr:to>
      <xdr:col>49</xdr:col>
      <xdr:colOff>0</xdr:colOff>
      <xdr:row>27</xdr:row>
      <xdr:rowOff>142875</xdr:rowOff>
    </xdr:to>
    <xdr:sp>
      <xdr:nvSpPr>
        <xdr:cNvPr id="115" name="Line 206"/>
        <xdr:cNvSpPr>
          <a:spLocks/>
        </xdr:cNvSpPr>
      </xdr:nvSpPr>
      <xdr:spPr>
        <a:xfrm>
          <a:off x="7934325" y="2162175"/>
          <a:ext cx="0"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76200</xdr:colOff>
      <xdr:row>32</xdr:row>
      <xdr:rowOff>0</xdr:rowOff>
    </xdr:from>
    <xdr:to>
      <xdr:col>52</xdr:col>
      <xdr:colOff>104775</xdr:colOff>
      <xdr:row>32</xdr:row>
      <xdr:rowOff>0</xdr:rowOff>
    </xdr:to>
    <xdr:sp>
      <xdr:nvSpPr>
        <xdr:cNvPr id="116" name="Line 207"/>
        <xdr:cNvSpPr>
          <a:spLocks/>
        </xdr:cNvSpPr>
      </xdr:nvSpPr>
      <xdr:spPr>
        <a:xfrm>
          <a:off x="8334375" y="52197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17</xdr:row>
      <xdr:rowOff>114300</xdr:rowOff>
    </xdr:from>
    <xdr:to>
      <xdr:col>46</xdr:col>
      <xdr:colOff>0</xdr:colOff>
      <xdr:row>19</xdr:row>
      <xdr:rowOff>19050</xdr:rowOff>
    </xdr:to>
    <xdr:sp>
      <xdr:nvSpPr>
        <xdr:cNvPr id="117" name="Line 208"/>
        <xdr:cNvSpPr>
          <a:spLocks/>
        </xdr:cNvSpPr>
      </xdr:nvSpPr>
      <xdr:spPr>
        <a:xfrm>
          <a:off x="7448550" y="2905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17</xdr:row>
      <xdr:rowOff>104775</xdr:rowOff>
    </xdr:from>
    <xdr:to>
      <xdr:col>43</xdr:col>
      <xdr:colOff>0</xdr:colOff>
      <xdr:row>19</xdr:row>
      <xdr:rowOff>0</xdr:rowOff>
    </xdr:to>
    <xdr:sp>
      <xdr:nvSpPr>
        <xdr:cNvPr id="118" name="Line 209"/>
        <xdr:cNvSpPr>
          <a:spLocks/>
        </xdr:cNvSpPr>
      </xdr:nvSpPr>
      <xdr:spPr>
        <a:xfrm>
          <a:off x="6962775" y="2895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28</xdr:row>
      <xdr:rowOff>76200</xdr:rowOff>
    </xdr:from>
    <xdr:to>
      <xdr:col>45</xdr:col>
      <xdr:colOff>0</xdr:colOff>
      <xdr:row>29</xdr:row>
      <xdr:rowOff>152400</xdr:rowOff>
    </xdr:to>
    <xdr:sp>
      <xdr:nvSpPr>
        <xdr:cNvPr id="119" name="Line 210"/>
        <xdr:cNvSpPr>
          <a:spLocks/>
        </xdr:cNvSpPr>
      </xdr:nvSpPr>
      <xdr:spPr>
        <a:xfrm>
          <a:off x="7286625" y="4648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24</xdr:row>
      <xdr:rowOff>104775</xdr:rowOff>
    </xdr:from>
    <xdr:to>
      <xdr:col>41</xdr:col>
      <xdr:colOff>0</xdr:colOff>
      <xdr:row>25</xdr:row>
      <xdr:rowOff>152400</xdr:rowOff>
    </xdr:to>
    <xdr:sp>
      <xdr:nvSpPr>
        <xdr:cNvPr id="120" name="Line 211"/>
        <xdr:cNvSpPr>
          <a:spLocks/>
        </xdr:cNvSpPr>
      </xdr:nvSpPr>
      <xdr:spPr>
        <a:xfrm>
          <a:off x="6638925" y="40290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114300</xdr:colOff>
      <xdr:row>4</xdr:row>
      <xdr:rowOff>9525</xdr:rowOff>
    </xdr:from>
    <xdr:to>
      <xdr:col>48</xdr:col>
      <xdr:colOff>152400</xdr:colOff>
      <xdr:row>4</xdr:row>
      <xdr:rowOff>76200</xdr:rowOff>
    </xdr:to>
    <xdr:sp>
      <xdr:nvSpPr>
        <xdr:cNvPr id="121" name="Line 236"/>
        <xdr:cNvSpPr>
          <a:spLocks/>
        </xdr:cNvSpPr>
      </xdr:nvSpPr>
      <xdr:spPr>
        <a:xfrm flipH="1">
          <a:off x="7886700" y="6572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xdr:row>
      <xdr:rowOff>0</xdr:rowOff>
    </xdr:from>
    <xdr:to>
      <xdr:col>49</xdr:col>
      <xdr:colOff>38100</xdr:colOff>
      <xdr:row>4</xdr:row>
      <xdr:rowOff>66675</xdr:rowOff>
    </xdr:to>
    <xdr:sp>
      <xdr:nvSpPr>
        <xdr:cNvPr id="122" name="Line 239"/>
        <xdr:cNvSpPr>
          <a:spLocks/>
        </xdr:cNvSpPr>
      </xdr:nvSpPr>
      <xdr:spPr>
        <a:xfrm>
          <a:off x="7934325" y="6477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69</xdr:row>
      <xdr:rowOff>28575</xdr:rowOff>
    </xdr:from>
    <xdr:to>
      <xdr:col>6</xdr:col>
      <xdr:colOff>9525</xdr:colOff>
      <xdr:row>72</xdr:row>
      <xdr:rowOff>0</xdr:rowOff>
    </xdr:to>
    <xdr:sp>
      <xdr:nvSpPr>
        <xdr:cNvPr id="123" name="Line 251"/>
        <xdr:cNvSpPr>
          <a:spLocks/>
        </xdr:cNvSpPr>
      </xdr:nvSpPr>
      <xdr:spPr>
        <a:xfrm>
          <a:off x="981075" y="116109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72</xdr:row>
      <xdr:rowOff>0</xdr:rowOff>
    </xdr:from>
    <xdr:to>
      <xdr:col>11</xdr:col>
      <xdr:colOff>152400</xdr:colOff>
      <xdr:row>72</xdr:row>
      <xdr:rowOff>0</xdr:rowOff>
    </xdr:to>
    <xdr:sp>
      <xdr:nvSpPr>
        <xdr:cNvPr id="124" name="Line 252"/>
        <xdr:cNvSpPr>
          <a:spLocks/>
        </xdr:cNvSpPr>
      </xdr:nvSpPr>
      <xdr:spPr>
        <a:xfrm>
          <a:off x="123825" y="12068175"/>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67</xdr:row>
      <xdr:rowOff>142875</xdr:rowOff>
    </xdr:from>
    <xdr:to>
      <xdr:col>12</xdr:col>
      <xdr:colOff>0</xdr:colOff>
      <xdr:row>69</xdr:row>
      <xdr:rowOff>9525</xdr:rowOff>
    </xdr:to>
    <xdr:sp>
      <xdr:nvSpPr>
        <xdr:cNvPr id="125" name="Line 254"/>
        <xdr:cNvSpPr>
          <a:spLocks/>
        </xdr:cNvSpPr>
      </xdr:nvSpPr>
      <xdr:spPr>
        <a:xfrm flipV="1">
          <a:off x="971550" y="11401425"/>
          <a:ext cx="9715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68</xdr:row>
      <xdr:rowOff>19050</xdr:rowOff>
    </xdr:from>
    <xdr:to>
      <xdr:col>23</xdr:col>
      <xdr:colOff>9525</xdr:colOff>
      <xdr:row>69</xdr:row>
      <xdr:rowOff>0</xdr:rowOff>
    </xdr:to>
    <xdr:sp>
      <xdr:nvSpPr>
        <xdr:cNvPr id="126" name="Line 255"/>
        <xdr:cNvSpPr>
          <a:spLocks/>
        </xdr:cNvSpPr>
      </xdr:nvSpPr>
      <xdr:spPr>
        <a:xfrm>
          <a:off x="2571750" y="11439525"/>
          <a:ext cx="11620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68</xdr:row>
      <xdr:rowOff>152400</xdr:rowOff>
    </xdr:from>
    <xdr:to>
      <xdr:col>23</xdr:col>
      <xdr:colOff>0</xdr:colOff>
      <xdr:row>72</xdr:row>
      <xdr:rowOff>0</xdr:rowOff>
    </xdr:to>
    <xdr:sp>
      <xdr:nvSpPr>
        <xdr:cNvPr id="127" name="Line 256"/>
        <xdr:cNvSpPr>
          <a:spLocks/>
        </xdr:cNvSpPr>
      </xdr:nvSpPr>
      <xdr:spPr>
        <a:xfrm flipV="1">
          <a:off x="3724275" y="115728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42</xdr:row>
      <xdr:rowOff>152400</xdr:rowOff>
    </xdr:from>
    <xdr:to>
      <xdr:col>12</xdr:col>
      <xdr:colOff>152400</xdr:colOff>
      <xdr:row>68</xdr:row>
      <xdr:rowOff>0</xdr:rowOff>
    </xdr:to>
    <xdr:sp>
      <xdr:nvSpPr>
        <xdr:cNvPr id="128" name="Line 257"/>
        <xdr:cNvSpPr>
          <a:spLocks/>
        </xdr:cNvSpPr>
      </xdr:nvSpPr>
      <xdr:spPr>
        <a:xfrm flipV="1">
          <a:off x="1933575" y="6991350"/>
          <a:ext cx="161925" cy="442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42</xdr:row>
      <xdr:rowOff>142875</xdr:rowOff>
    </xdr:from>
    <xdr:to>
      <xdr:col>15</xdr:col>
      <xdr:colOff>152400</xdr:colOff>
      <xdr:row>68</xdr:row>
      <xdr:rowOff>9525</xdr:rowOff>
    </xdr:to>
    <xdr:sp>
      <xdr:nvSpPr>
        <xdr:cNvPr id="129" name="Line 258"/>
        <xdr:cNvSpPr>
          <a:spLocks/>
        </xdr:cNvSpPr>
      </xdr:nvSpPr>
      <xdr:spPr>
        <a:xfrm flipH="1" flipV="1">
          <a:off x="2428875" y="6981825"/>
          <a:ext cx="152400" cy="444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42</xdr:row>
      <xdr:rowOff>142875</xdr:rowOff>
    </xdr:from>
    <xdr:to>
      <xdr:col>15</xdr:col>
      <xdr:colOff>9525</xdr:colOff>
      <xdr:row>42</xdr:row>
      <xdr:rowOff>142875</xdr:rowOff>
    </xdr:to>
    <xdr:sp>
      <xdr:nvSpPr>
        <xdr:cNvPr id="130" name="Line 259"/>
        <xdr:cNvSpPr>
          <a:spLocks/>
        </xdr:cNvSpPr>
      </xdr:nvSpPr>
      <xdr:spPr>
        <a:xfrm>
          <a:off x="2095500" y="69818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28575</xdr:rowOff>
    </xdr:from>
    <xdr:to>
      <xdr:col>13</xdr:col>
      <xdr:colOff>0</xdr:colOff>
      <xdr:row>42</xdr:row>
      <xdr:rowOff>19050</xdr:rowOff>
    </xdr:to>
    <xdr:sp>
      <xdr:nvSpPr>
        <xdr:cNvPr id="131" name="Line 290"/>
        <xdr:cNvSpPr>
          <a:spLocks/>
        </xdr:cNvSpPr>
      </xdr:nvSpPr>
      <xdr:spPr>
        <a:xfrm>
          <a:off x="2105025" y="67056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41</xdr:row>
      <xdr:rowOff>38100</xdr:rowOff>
    </xdr:from>
    <xdr:to>
      <xdr:col>15</xdr:col>
      <xdr:colOff>0</xdr:colOff>
      <xdr:row>42</xdr:row>
      <xdr:rowOff>9525</xdr:rowOff>
    </xdr:to>
    <xdr:sp>
      <xdr:nvSpPr>
        <xdr:cNvPr id="132" name="Line 291"/>
        <xdr:cNvSpPr>
          <a:spLocks/>
        </xdr:cNvSpPr>
      </xdr:nvSpPr>
      <xdr:spPr>
        <a:xfrm>
          <a:off x="2428875" y="67151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41</xdr:row>
      <xdr:rowOff>95250</xdr:rowOff>
    </xdr:from>
    <xdr:to>
      <xdr:col>13</xdr:col>
      <xdr:colOff>19050</xdr:colOff>
      <xdr:row>41</xdr:row>
      <xdr:rowOff>95250</xdr:rowOff>
    </xdr:to>
    <xdr:sp>
      <xdr:nvSpPr>
        <xdr:cNvPr id="133" name="Line 292"/>
        <xdr:cNvSpPr>
          <a:spLocks/>
        </xdr:cNvSpPr>
      </xdr:nvSpPr>
      <xdr:spPr>
        <a:xfrm>
          <a:off x="1971675" y="67722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41</xdr:row>
      <xdr:rowOff>95250</xdr:rowOff>
    </xdr:from>
    <xdr:to>
      <xdr:col>15</xdr:col>
      <xdr:colOff>123825</xdr:colOff>
      <xdr:row>41</xdr:row>
      <xdr:rowOff>95250</xdr:rowOff>
    </xdr:to>
    <xdr:sp>
      <xdr:nvSpPr>
        <xdr:cNvPr id="134" name="Line 293"/>
        <xdr:cNvSpPr>
          <a:spLocks/>
        </xdr:cNvSpPr>
      </xdr:nvSpPr>
      <xdr:spPr>
        <a:xfrm flipH="1">
          <a:off x="2419350" y="67722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66</xdr:row>
      <xdr:rowOff>85725</xdr:rowOff>
    </xdr:from>
    <xdr:to>
      <xdr:col>15</xdr:col>
      <xdr:colOff>0</xdr:colOff>
      <xdr:row>66</xdr:row>
      <xdr:rowOff>85725</xdr:rowOff>
    </xdr:to>
    <xdr:sp>
      <xdr:nvSpPr>
        <xdr:cNvPr id="135" name="Line 294"/>
        <xdr:cNvSpPr>
          <a:spLocks/>
        </xdr:cNvSpPr>
      </xdr:nvSpPr>
      <xdr:spPr>
        <a:xfrm flipH="1">
          <a:off x="2428875" y="11163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74</xdr:row>
      <xdr:rowOff>28575</xdr:rowOff>
    </xdr:from>
    <xdr:to>
      <xdr:col>17</xdr:col>
      <xdr:colOff>0</xdr:colOff>
      <xdr:row>75</xdr:row>
      <xdr:rowOff>152400</xdr:rowOff>
    </xdr:to>
    <xdr:sp>
      <xdr:nvSpPr>
        <xdr:cNvPr id="136" name="Line 301"/>
        <xdr:cNvSpPr>
          <a:spLocks/>
        </xdr:cNvSpPr>
      </xdr:nvSpPr>
      <xdr:spPr>
        <a:xfrm>
          <a:off x="2752725" y="124206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72</xdr:row>
      <xdr:rowOff>0</xdr:rowOff>
    </xdr:from>
    <xdr:to>
      <xdr:col>17</xdr:col>
      <xdr:colOff>9525</xdr:colOff>
      <xdr:row>73</xdr:row>
      <xdr:rowOff>9525</xdr:rowOff>
    </xdr:to>
    <xdr:sp>
      <xdr:nvSpPr>
        <xdr:cNvPr id="137" name="Line 302"/>
        <xdr:cNvSpPr>
          <a:spLocks/>
        </xdr:cNvSpPr>
      </xdr:nvSpPr>
      <xdr:spPr>
        <a:xfrm flipV="1">
          <a:off x="2762250" y="120681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47</xdr:row>
      <xdr:rowOff>123825</xdr:rowOff>
    </xdr:to>
    <xdr:sp>
      <xdr:nvSpPr>
        <xdr:cNvPr id="138" name="Line 303"/>
        <xdr:cNvSpPr>
          <a:spLocks/>
        </xdr:cNvSpPr>
      </xdr:nvSpPr>
      <xdr:spPr>
        <a:xfrm flipV="1">
          <a:off x="809625" y="7000875"/>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52</xdr:row>
      <xdr:rowOff>9525</xdr:rowOff>
    </xdr:to>
    <xdr:sp>
      <xdr:nvSpPr>
        <xdr:cNvPr id="139" name="Line 304"/>
        <xdr:cNvSpPr>
          <a:spLocks/>
        </xdr:cNvSpPr>
      </xdr:nvSpPr>
      <xdr:spPr>
        <a:xfrm flipV="1">
          <a:off x="971550" y="7000875"/>
          <a:ext cx="0" cy="1562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72</xdr:row>
      <xdr:rowOff>0</xdr:rowOff>
    </xdr:from>
    <xdr:to>
      <xdr:col>24</xdr:col>
      <xdr:colOff>104775</xdr:colOff>
      <xdr:row>72</xdr:row>
      <xdr:rowOff>0</xdr:rowOff>
    </xdr:to>
    <xdr:sp>
      <xdr:nvSpPr>
        <xdr:cNvPr id="140" name="Line 307"/>
        <xdr:cNvSpPr>
          <a:spLocks/>
        </xdr:cNvSpPr>
      </xdr:nvSpPr>
      <xdr:spPr>
        <a:xfrm>
          <a:off x="3800475" y="120681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9525</xdr:rowOff>
    </xdr:from>
    <xdr:to>
      <xdr:col>15</xdr:col>
      <xdr:colOff>0</xdr:colOff>
      <xdr:row>43</xdr:row>
      <xdr:rowOff>76200</xdr:rowOff>
    </xdr:to>
    <xdr:sp>
      <xdr:nvSpPr>
        <xdr:cNvPr id="141" name="Line 318"/>
        <xdr:cNvSpPr>
          <a:spLocks/>
        </xdr:cNvSpPr>
      </xdr:nvSpPr>
      <xdr:spPr>
        <a:xfrm flipH="1">
          <a:off x="2428875" y="70104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142" name="Line 319"/>
        <xdr:cNvSpPr>
          <a:spLocks/>
        </xdr:cNvSpPr>
      </xdr:nvSpPr>
      <xdr:spPr>
        <a:xfrm flipH="1">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143" name="Line 320"/>
        <xdr:cNvSpPr>
          <a:spLocks/>
        </xdr:cNvSpPr>
      </xdr:nvSpPr>
      <xdr:spPr>
        <a:xfrm>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144" name="Line 321"/>
        <xdr:cNvSpPr>
          <a:spLocks/>
        </xdr:cNvSpPr>
      </xdr:nvSpPr>
      <xdr:spPr>
        <a:xfrm>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145" name="Line 323"/>
        <xdr:cNvSpPr>
          <a:spLocks/>
        </xdr:cNvSpPr>
      </xdr:nvSpPr>
      <xdr:spPr>
        <a:xfrm flipH="1">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9525</xdr:rowOff>
    </xdr:from>
    <xdr:to>
      <xdr:col>15</xdr:col>
      <xdr:colOff>0</xdr:colOff>
      <xdr:row>43</xdr:row>
      <xdr:rowOff>76200</xdr:rowOff>
    </xdr:to>
    <xdr:sp>
      <xdr:nvSpPr>
        <xdr:cNvPr id="146" name="Line 324"/>
        <xdr:cNvSpPr>
          <a:spLocks/>
        </xdr:cNvSpPr>
      </xdr:nvSpPr>
      <xdr:spPr>
        <a:xfrm flipH="1">
          <a:off x="2428875" y="70104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147" name="Line 325"/>
        <xdr:cNvSpPr>
          <a:spLocks/>
        </xdr:cNvSpPr>
      </xdr:nvSpPr>
      <xdr:spPr>
        <a:xfrm flipH="1">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148" name="Line 326"/>
        <xdr:cNvSpPr>
          <a:spLocks/>
        </xdr:cNvSpPr>
      </xdr:nvSpPr>
      <xdr:spPr>
        <a:xfrm>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149" name="Line 327"/>
        <xdr:cNvSpPr>
          <a:spLocks/>
        </xdr:cNvSpPr>
      </xdr:nvSpPr>
      <xdr:spPr>
        <a:xfrm>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150" name="Line 329"/>
        <xdr:cNvSpPr>
          <a:spLocks/>
        </xdr:cNvSpPr>
      </xdr:nvSpPr>
      <xdr:spPr>
        <a:xfrm flipH="1">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9525</xdr:rowOff>
    </xdr:from>
    <xdr:to>
      <xdr:col>15</xdr:col>
      <xdr:colOff>0</xdr:colOff>
      <xdr:row>43</xdr:row>
      <xdr:rowOff>76200</xdr:rowOff>
    </xdr:to>
    <xdr:sp>
      <xdr:nvSpPr>
        <xdr:cNvPr id="151" name="Line 330"/>
        <xdr:cNvSpPr>
          <a:spLocks/>
        </xdr:cNvSpPr>
      </xdr:nvSpPr>
      <xdr:spPr>
        <a:xfrm flipH="1">
          <a:off x="2428875" y="70104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152" name="Line 331"/>
        <xdr:cNvSpPr>
          <a:spLocks/>
        </xdr:cNvSpPr>
      </xdr:nvSpPr>
      <xdr:spPr>
        <a:xfrm flipH="1">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38100</xdr:colOff>
      <xdr:row>43</xdr:row>
      <xdr:rowOff>66675</xdr:rowOff>
    </xdr:to>
    <xdr:sp>
      <xdr:nvSpPr>
        <xdr:cNvPr id="153" name="Line 333"/>
        <xdr:cNvSpPr>
          <a:spLocks/>
        </xdr:cNvSpPr>
      </xdr:nvSpPr>
      <xdr:spPr>
        <a:xfrm>
          <a:off x="2428875" y="70008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154" name="Line 335"/>
        <xdr:cNvSpPr>
          <a:spLocks/>
        </xdr:cNvSpPr>
      </xdr:nvSpPr>
      <xdr:spPr>
        <a:xfrm flipH="1">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26</xdr:row>
      <xdr:rowOff>95250</xdr:rowOff>
    </xdr:from>
    <xdr:to>
      <xdr:col>13</xdr:col>
      <xdr:colOff>66675</xdr:colOff>
      <xdr:row>26</xdr:row>
      <xdr:rowOff>95250</xdr:rowOff>
    </xdr:to>
    <xdr:sp>
      <xdr:nvSpPr>
        <xdr:cNvPr id="155" name="Line 351"/>
        <xdr:cNvSpPr>
          <a:spLocks/>
        </xdr:cNvSpPr>
      </xdr:nvSpPr>
      <xdr:spPr>
        <a:xfrm flipH="1">
          <a:off x="1781175" y="43434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32</xdr:row>
      <xdr:rowOff>9525</xdr:rowOff>
    </xdr:from>
    <xdr:to>
      <xdr:col>40</xdr:col>
      <xdr:colOff>0</xdr:colOff>
      <xdr:row>36</xdr:row>
      <xdr:rowOff>19050</xdr:rowOff>
    </xdr:to>
    <xdr:sp>
      <xdr:nvSpPr>
        <xdr:cNvPr id="156" name="Line 352"/>
        <xdr:cNvSpPr>
          <a:spLocks/>
        </xdr:cNvSpPr>
      </xdr:nvSpPr>
      <xdr:spPr>
        <a:xfrm>
          <a:off x="6477000" y="52292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31</xdr:row>
      <xdr:rowOff>152400</xdr:rowOff>
    </xdr:from>
    <xdr:to>
      <xdr:col>45</xdr:col>
      <xdr:colOff>0</xdr:colOff>
      <xdr:row>35</xdr:row>
      <xdr:rowOff>142875</xdr:rowOff>
    </xdr:to>
    <xdr:sp>
      <xdr:nvSpPr>
        <xdr:cNvPr id="157" name="Line 353"/>
        <xdr:cNvSpPr>
          <a:spLocks/>
        </xdr:cNvSpPr>
      </xdr:nvSpPr>
      <xdr:spPr>
        <a:xfrm>
          <a:off x="7286625" y="52101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36</xdr:row>
      <xdr:rowOff>0</xdr:rowOff>
    </xdr:from>
    <xdr:to>
      <xdr:col>45</xdr:col>
      <xdr:colOff>0</xdr:colOff>
      <xdr:row>36</xdr:row>
      <xdr:rowOff>0</xdr:rowOff>
    </xdr:to>
    <xdr:sp>
      <xdr:nvSpPr>
        <xdr:cNvPr id="158" name="Line 355"/>
        <xdr:cNvSpPr>
          <a:spLocks/>
        </xdr:cNvSpPr>
      </xdr:nvSpPr>
      <xdr:spPr>
        <a:xfrm>
          <a:off x="6477000" y="5867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32</xdr:row>
      <xdr:rowOff>0</xdr:rowOff>
    </xdr:from>
    <xdr:to>
      <xdr:col>40</xdr:col>
      <xdr:colOff>0</xdr:colOff>
      <xdr:row>32</xdr:row>
      <xdr:rowOff>0</xdr:rowOff>
    </xdr:to>
    <xdr:sp>
      <xdr:nvSpPr>
        <xdr:cNvPr id="159" name="Line 356"/>
        <xdr:cNvSpPr>
          <a:spLocks/>
        </xdr:cNvSpPr>
      </xdr:nvSpPr>
      <xdr:spPr>
        <a:xfrm>
          <a:off x="5676900" y="52197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28</xdr:row>
      <xdr:rowOff>0</xdr:rowOff>
    </xdr:from>
    <xdr:to>
      <xdr:col>19</xdr:col>
      <xdr:colOff>9525</xdr:colOff>
      <xdr:row>32</xdr:row>
      <xdr:rowOff>0</xdr:rowOff>
    </xdr:to>
    <xdr:sp>
      <xdr:nvSpPr>
        <xdr:cNvPr id="160" name="Line 357"/>
        <xdr:cNvSpPr>
          <a:spLocks/>
        </xdr:cNvSpPr>
      </xdr:nvSpPr>
      <xdr:spPr>
        <a:xfrm>
          <a:off x="3086100" y="4572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9525</xdr:rowOff>
    </xdr:from>
    <xdr:to>
      <xdr:col>26</xdr:col>
      <xdr:colOff>0</xdr:colOff>
      <xdr:row>31</xdr:row>
      <xdr:rowOff>152400</xdr:rowOff>
    </xdr:to>
    <xdr:sp>
      <xdr:nvSpPr>
        <xdr:cNvPr id="161" name="Line 358"/>
        <xdr:cNvSpPr>
          <a:spLocks/>
        </xdr:cNvSpPr>
      </xdr:nvSpPr>
      <xdr:spPr>
        <a:xfrm flipV="1">
          <a:off x="4210050" y="657225"/>
          <a:ext cx="0" cy="4552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27</xdr:row>
      <xdr:rowOff>142875</xdr:rowOff>
    </xdr:from>
    <xdr:to>
      <xdr:col>24</xdr:col>
      <xdr:colOff>0</xdr:colOff>
      <xdr:row>27</xdr:row>
      <xdr:rowOff>142875</xdr:rowOff>
    </xdr:to>
    <xdr:sp>
      <xdr:nvSpPr>
        <xdr:cNvPr id="162" name="Line 359"/>
        <xdr:cNvSpPr>
          <a:spLocks/>
        </xdr:cNvSpPr>
      </xdr:nvSpPr>
      <xdr:spPr>
        <a:xfrm>
          <a:off x="3076575" y="4552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27</xdr:row>
      <xdr:rowOff>152400</xdr:rowOff>
    </xdr:from>
    <xdr:to>
      <xdr:col>34</xdr:col>
      <xdr:colOff>0</xdr:colOff>
      <xdr:row>27</xdr:row>
      <xdr:rowOff>152400</xdr:rowOff>
    </xdr:to>
    <xdr:sp>
      <xdr:nvSpPr>
        <xdr:cNvPr id="163" name="Line 360"/>
        <xdr:cNvSpPr>
          <a:spLocks/>
        </xdr:cNvSpPr>
      </xdr:nvSpPr>
      <xdr:spPr>
        <a:xfrm>
          <a:off x="4543425" y="45624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3</xdr:row>
      <xdr:rowOff>152400</xdr:rowOff>
    </xdr:from>
    <xdr:to>
      <xdr:col>24</xdr:col>
      <xdr:colOff>152400</xdr:colOff>
      <xdr:row>28</xdr:row>
      <xdr:rowOff>0</xdr:rowOff>
    </xdr:to>
    <xdr:sp>
      <xdr:nvSpPr>
        <xdr:cNvPr id="164" name="Line 361"/>
        <xdr:cNvSpPr>
          <a:spLocks/>
        </xdr:cNvSpPr>
      </xdr:nvSpPr>
      <xdr:spPr>
        <a:xfrm flipV="1">
          <a:off x="3876675" y="638175"/>
          <a:ext cx="161925" cy="393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3</xdr:row>
      <xdr:rowOff>152400</xdr:rowOff>
    </xdr:from>
    <xdr:to>
      <xdr:col>28</xdr:col>
      <xdr:colOff>0</xdr:colOff>
      <xdr:row>27</xdr:row>
      <xdr:rowOff>152400</xdr:rowOff>
    </xdr:to>
    <xdr:sp>
      <xdr:nvSpPr>
        <xdr:cNvPr id="165" name="Line 362"/>
        <xdr:cNvSpPr>
          <a:spLocks/>
        </xdr:cNvSpPr>
      </xdr:nvSpPr>
      <xdr:spPr>
        <a:xfrm flipH="1" flipV="1">
          <a:off x="4381500" y="638175"/>
          <a:ext cx="152400" cy="392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4</xdr:row>
      <xdr:rowOff>0</xdr:rowOff>
    </xdr:from>
    <xdr:to>
      <xdr:col>27</xdr:col>
      <xdr:colOff>9525</xdr:colOff>
      <xdr:row>4</xdr:row>
      <xdr:rowOff>0</xdr:rowOff>
    </xdr:to>
    <xdr:sp>
      <xdr:nvSpPr>
        <xdr:cNvPr id="166" name="Line 363"/>
        <xdr:cNvSpPr>
          <a:spLocks/>
        </xdr:cNvSpPr>
      </xdr:nvSpPr>
      <xdr:spPr>
        <a:xfrm>
          <a:off x="4038600" y="647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85725</xdr:colOff>
      <xdr:row>24</xdr:row>
      <xdr:rowOff>9525</xdr:rowOff>
    </xdr:from>
    <xdr:to>
      <xdr:col>23</xdr:col>
      <xdr:colOff>133350</xdr:colOff>
      <xdr:row>24</xdr:row>
      <xdr:rowOff>95250</xdr:rowOff>
    </xdr:to>
    <xdr:sp>
      <xdr:nvSpPr>
        <xdr:cNvPr id="167" name="Line 364"/>
        <xdr:cNvSpPr>
          <a:spLocks/>
        </xdr:cNvSpPr>
      </xdr:nvSpPr>
      <xdr:spPr>
        <a:xfrm flipH="1">
          <a:off x="381000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0</xdr:rowOff>
    </xdr:from>
    <xdr:to>
      <xdr:col>23</xdr:col>
      <xdr:colOff>57150</xdr:colOff>
      <xdr:row>24</xdr:row>
      <xdr:rowOff>95250</xdr:rowOff>
    </xdr:to>
    <xdr:sp>
      <xdr:nvSpPr>
        <xdr:cNvPr id="168" name="Line 365"/>
        <xdr:cNvSpPr>
          <a:spLocks/>
        </xdr:cNvSpPr>
      </xdr:nvSpPr>
      <xdr:spPr>
        <a:xfrm flipH="1">
          <a:off x="372427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xdr:colOff>
      <xdr:row>24</xdr:row>
      <xdr:rowOff>9525</xdr:rowOff>
    </xdr:from>
    <xdr:to>
      <xdr:col>19</xdr:col>
      <xdr:colOff>133350</xdr:colOff>
      <xdr:row>24</xdr:row>
      <xdr:rowOff>95250</xdr:rowOff>
    </xdr:to>
    <xdr:sp>
      <xdr:nvSpPr>
        <xdr:cNvPr id="169" name="Line 366"/>
        <xdr:cNvSpPr>
          <a:spLocks/>
        </xdr:cNvSpPr>
      </xdr:nvSpPr>
      <xdr:spPr>
        <a:xfrm flipH="1">
          <a:off x="316230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57150</xdr:colOff>
      <xdr:row>24</xdr:row>
      <xdr:rowOff>95250</xdr:rowOff>
    </xdr:to>
    <xdr:sp>
      <xdr:nvSpPr>
        <xdr:cNvPr id="170" name="Line 367"/>
        <xdr:cNvSpPr>
          <a:spLocks/>
        </xdr:cNvSpPr>
      </xdr:nvSpPr>
      <xdr:spPr>
        <a:xfrm flipH="1">
          <a:off x="307657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9525</xdr:rowOff>
    </xdr:from>
    <xdr:to>
      <xdr:col>20</xdr:col>
      <xdr:colOff>0</xdr:colOff>
      <xdr:row>24</xdr:row>
      <xdr:rowOff>95250</xdr:rowOff>
    </xdr:to>
    <xdr:sp>
      <xdr:nvSpPr>
        <xdr:cNvPr id="171" name="Line 368"/>
        <xdr:cNvSpPr>
          <a:spLocks/>
        </xdr:cNvSpPr>
      </xdr:nvSpPr>
      <xdr:spPr>
        <a:xfrm flipH="1">
          <a:off x="32385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0</xdr:colOff>
      <xdr:row>24</xdr:row>
      <xdr:rowOff>95250</xdr:rowOff>
    </xdr:to>
    <xdr:sp>
      <xdr:nvSpPr>
        <xdr:cNvPr id="172" name="Line 369"/>
        <xdr:cNvSpPr>
          <a:spLocks/>
        </xdr:cNvSpPr>
      </xdr:nvSpPr>
      <xdr:spPr>
        <a:xfrm flipH="1">
          <a:off x="32385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9525</xdr:rowOff>
    </xdr:from>
    <xdr:to>
      <xdr:col>20</xdr:col>
      <xdr:colOff>0</xdr:colOff>
      <xdr:row>24</xdr:row>
      <xdr:rowOff>95250</xdr:rowOff>
    </xdr:to>
    <xdr:sp>
      <xdr:nvSpPr>
        <xdr:cNvPr id="173" name="Line 370"/>
        <xdr:cNvSpPr>
          <a:spLocks/>
        </xdr:cNvSpPr>
      </xdr:nvSpPr>
      <xdr:spPr>
        <a:xfrm flipH="1">
          <a:off x="32385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0</xdr:colOff>
      <xdr:row>24</xdr:row>
      <xdr:rowOff>95250</xdr:rowOff>
    </xdr:to>
    <xdr:sp>
      <xdr:nvSpPr>
        <xdr:cNvPr id="174" name="Line 371"/>
        <xdr:cNvSpPr>
          <a:spLocks/>
        </xdr:cNvSpPr>
      </xdr:nvSpPr>
      <xdr:spPr>
        <a:xfrm flipH="1">
          <a:off x="32385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9525</xdr:rowOff>
    </xdr:from>
    <xdr:to>
      <xdr:col>20</xdr:col>
      <xdr:colOff>0</xdr:colOff>
      <xdr:row>24</xdr:row>
      <xdr:rowOff>95250</xdr:rowOff>
    </xdr:to>
    <xdr:sp>
      <xdr:nvSpPr>
        <xdr:cNvPr id="175" name="Line 372"/>
        <xdr:cNvSpPr>
          <a:spLocks/>
        </xdr:cNvSpPr>
      </xdr:nvSpPr>
      <xdr:spPr>
        <a:xfrm flipH="1">
          <a:off x="32385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0</xdr:colOff>
      <xdr:row>24</xdr:row>
      <xdr:rowOff>95250</xdr:rowOff>
    </xdr:to>
    <xdr:sp>
      <xdr:nvSpPr>
        <xdr:cNvPr id="176" name="Line 373"/>
        <xdr:cNvSpPr>
          <a:spLocks/>
        </xdr:cNvSpPr>
      </xdr:nvSpPr>
      <xdr:spPr>
        <a:xfrm flipH="1">
          <a:off x="32385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9525</xdr:rowOff>
    </xdr:from>
    <xdr:to>
      <xdr:col>20</xdr:col>
      <xdr:colOff>0</xdr:colOff>
      <xdr:row>24</xdr:row>
      <xdr:rowOff>95250</xdr:rowOff>
    </xdr:to>
    <xdr:sp>
      <xdr:nvSpPr>
        <xdr:cNvPr id="177" name="Line 374"/>
        <xdr:cNvSpPr>
          <a:spLocks/>
        </xdr:cNvSpPr>
      </xdr:nvSpPr>
      <xdr:spPr>
        <a:xfrm flipH="1">
          <a:off x="32385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0</xdr:colOff>
      <xdr:row>24</xdr:row>
      <xdr:rowOff>95250</xdr:rowOff>
    </xdr:to>
    <xdr:sp>
      <xdr:nvSpPr>
        <xdr:cNvPr id="178" name="Line 375"/>
        <xdr:cNvSpPr>
          <a:spLocks/>
        </xdr:cNvSpPr>
      </xdr:nvSpPr>
      <xdr:spPr>
        <a:xfrm flipH="1">
          <a:off x="32385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9525</xdr:rowOff>
    </xdr:from>
    <xdr:to>
      <xdr:col>20</xdr:col>
      <xdr:colOff>0</xdr:colOff>
      <xdr:row>24</xdr:row>
      <xdr:rowOff>95250</xdr:rowOff>
    </xdr:to>
    <xdr:sp>
      <xdr:nvSpPr>
        <xdr:cNvPr id="179" name="Line 376"/>
        <xdr:cNvSpPr>
          <a:spLocks/>
        </xdr:cNvSpPr>
      </xdr:nvSpPr>
      <xdr:spPr>
        <a:xfrm flipH="1">
          <a:off x="3238500" y="39338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0</xdr:colOff>
      <xdr:row>24</xdr:row>
      <xdr:rowOff>95250</xdr:rowOff>
    </xdr:to>
    <xdr:sp>
      <xdr:nvSpPr>
        <xdr:cNvPr id="180" name="Line 377"/>
        <xdr:cNvSpPr>
          <a:spLocks/>
        </xdr:cNvSpPr>
      </xdr:nvSpPr>
      <xdr:spPr>
        <a:xfrm flipH="1">
          <a:off x="3238500" y="3924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85725</xdr:colOff>
      <xdr:row>24</xdr:row>
      <xdr:rowOff>9525</xdr:rowOff>
    </xdr:from>
    <xdr:to>
      <xdr:col>20</xdr:col>
      <xdr:colOff>133350</xdr:colOff>
      <xdr:row>24</xdr:row>
      <xdr:rowOff>95250</xdr:rowOff>
    </xdr:to>
    <xdr:sp>
      <xdr:nvSpPr>
        <xdr:cNvPr id="181" name="Line 378"/>
        <xdr:cNvSpPr>
          <a:spLocks/>
        </xdr:cNvSpPr>
      </xdr:nvSpPr>
      <xdr:spPr>
        <a:xfrm flipH="1">
          <a:off x="332422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24</xdr:row>
      <xdr:rowOff>0</xdr:rowOff>
    </xdr:from>
    <xdr:to>
      <xdr:col>20</xdr:col>
      <xdr:colOff>57150</xdr:colOff>
      <xdr:row>24</xdr:row>
      <xdr:rowOff>95250</xdr:rowOff>
    </xdr:to>
    <xdr:sp>
      <xdr:nvSpPr>
        <xdr:cNvPr id="182" name="Line 379"/>
        <xdr:cNvSpPr>
          <a:spLocks/>
        </xdr:cNvSpPr>
      </xdr:nvSpPr>
      <xdr:spPr>
        <a:xfrm flipH="1">
          <a:off x="323850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24</xdr:row>
      <xdr:rowOff>9525</xdr:rowOff>
    </xdr:from>
    <xdr:to>
      <xdr:col>21</xdr:col>
      <xdr:colOff>133350</xdr:colOff>
      <xdr:row>24</xdr:row>
      <xdr:rowOff>95250</xdr:rowOff>
    </xdr:to>
    <xdr:sp>
      <xdr:nvSpPr>
        <xdr:cNvPr id="183" name="Line 380"/>
        <xdr:cNvSpPr>
          <a:spLocks/>
        </xdr:cNvSpPr>
      </xdr:nvSpPr>
      <xdr:spPr>
        <a:xfrm flipH="1">
          <a:off x="3486150"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24</xdr:row>
      <xdr:rowOff>0</xdr:rowOff>
    </xdr:from>
    <xdr:to>
      <xdr:col>21</xdr:col>
      <xdr:colOff>57150</xdr:colOff>
      <xdr:row>24</xdr:row>
      <xdr:rowOff>95250</xdr:rowOff>
    </xdr:to>
    <xdr:sp>
      <xdr:nvSpPr>
        <xdr:cNvPr id="184" name="Line 381"/>
        <xdr:cNvSpPr>
          <a:spLocks/>
        </xdr:cNvSpPr>
      </xdr:nvSpPr>
      <xdr:spPr>
        <a:xfrm flipH="1">
          <a:off x="3400425"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85725</xdr:colOff>
      <xdr:row>24</xdr:row>
      <xdr:rowOff>9525</xdr:rowOff>
    </xdr:from>
    <xdr:to>
      <xdr:col>22</xdr:col>
      <xdr:colOff>133350</xdr:colOff>
      <xdr:row>24</xdr:row>
      <xdr:rowOff>95250</xdr:rowOff>
    </xdr:to>
    <xdr:sp>
      <xdr:nvSpPr>
        <xdr:cNvPr id="185" name="Line 382"/>
        <xdr:cNvSpPr>
          <a:spLocks/>
        </xdr:cNvSpPr>
      </xdr:nvSpPr>
      <xdr:spPr>
        <a:xfrm flipH="1">
          <a:off x="3648075" y="393382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24</xdr:row>
      <xdr:rowOff>0</xdr:rowOff>
    </xdr:from>
    <xdr:to>
      <xdr:col>22</xdr:col>
      <xdr:colOff>57150</xdr:colOff>
      <xdr:row>24</xdr:row>
      <xdr:rowOff>95250</xdr:rowOff>
    </xdr:to>
    <xdr:sp>
      <xdr:nvSpPr>
        <xdr:cNvPr id="186" name="Line 383"/>
        <xdr:cNvSpPr>
          <a:spLocks/>
        </xdr:cNvSpPr>
      </xdr:nvSpPr>
      <xdr:spPr>
        <a:xfrm flipH="1">
          <a:off x="3562350" y="3924300"/>
          <a:ext cx="57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85725</xdr:colOff>
      <xdr:row>26</xdr:row>
      <xdr:rowOff>85725</xdr:rowOff>
    </xdr:from>
    <xdr:to>
      <xdr:col>24</xdr:col>
      <xdr:colOff>9525</xdr:colOff>
      <xdr:row>26</xdr:row>
      <xdr:rowOff>85725</xdr:rowOff>
    </xdr:to>
    <xdr:sp>
      <xdr:nvSpPr>
        <xdr:cNvPr id="187" name="Line 387"/>
        <xdr:cNvSpPr>
          <a:spLocks/>
        </xdr:cNvSpPr>
      </xdr:nvSpPr>
      <xdr:spPr>
        <a:xfrm>
          <a:off x="3648075" y="43338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95250</xdr:rowOff>
    </xdr:from>
    <xdr:to>
      <xdr:col>20</xdr:col>
      <xdr:colOff>66675</xdr:colOff>
      <xdr:row>26</xdr:row>
      <xdr:rowOff>95250</xdr:rowOff>
    </xdr:to>
    <xdr:sp>
      <xdr:nvSpPr>
        <xdr:cNvPr id="188" name="Line 388"/>
        <xdr:cNvSpPr>
          <a:spLocks/>
        </xdr:cNvSpPr>
      </xdr:nvSpPr>
      <xdr:spPr>
        <a:xfrm flipH="1">
          <a:off x="3076575" y="4343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38100</xdr:rowOff>
    </xdr:from>
    <xdr:to>
      <xdr:col>19</xdr:col>
      <xdr:colOff>9525</xdr:colOff>
      <xdr:row>27</xdr:row>
      <xdr:rowOff>28575</xdr:rowOff>
    </xdr:to>
    <xdr:sp>
      <xdr:nvSpPr>
        <xdr:cNvPr id="189" name="Line 389"/>
        <xdr:cNvSpPr>
          <a:spLocks/>
        </xdr:cNvSpPr>
      </xdr:nvSpPr>
      <xdr:spPr>
        <a:xfrm>
          <a:off x="3086100" y="41243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85725</xdr:rowOff>
    </xdr:from>
    <xdr:to>
      <xdr:col>20</xdr:col>
      <xdr:colOff>85725</xdr:colOff>
      <xdr:row>25</xdr:row>
      <xdr:rowOff>85725</xdr:rowOff>
    </xdr:to>
    <xdr:sp>
      <xdr:nvSpPr>
        <xdr:cNvPr id="190" name="Line 390"/>
        <xdr:cNvSpPr>
          <a:spLocks/>
        </xdr:cNvSpPr>
      </xdr:nvSpPr>
      <xdr:spPr>
        <a:xfrm flipH="1">
          <a:off x="3076575" y="41719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95250</xdr:colOff>
      <xdr:row>25</xdr:row>
      <xdr:rowOff>85725</xdr:rowOff>
    </xdr:from>
    <xdr:to>
      <xdr:col>24</xdr:col>
      <xdr:colOff>9525</xdr:colOff>
      <xdr:row>25</xdr:row>
      <xdr:rowOff>85725</xdr:rowOff>
    </xdr:to>
    <xdr:sp>
      <xdr:nvSpPr>
        <xdr:cNvPr id="191" name="Line 391"/>
        <xdr:cNvSpPr>
          <a:spLocks/>
        </xdr:cNvSpPr>
      </xdr:nvSpPr>
      <xdr:spPr>
        <a:xfrm>
          <a:off x="3657600" y="41719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0</xdr:row>
      <xdr:rowOff>0</xdr:rowOff>
    </xdr:from>
    <xdr:to>
      <xdr:col>25</xdr:col>
      <xdr:colOff>0</xdr:colOff>
      <xdr:row>0</xdr:row>
      <xdr:rowOff>152400</xdr:rowOff>
    </xdr:to>
    <xdr:sp>
      <xdr:nvSpPr>
        <xdr:cNvPr id="192" name="Line 392"/>
        <xdr:cNvSpPr>
          <a:spLocks/>
        </xdr:cNvSpPr>
      </xdr:nvSpPr>
      <xdr:spPr>
        <a:xfrm>
          <a:off x="4048125" y="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38100</xdr:rowOff>
    </xdr:from>
    <xdr:to>
      <xdr:col>27</xdr:col>
      <xdr:colOff>0</xdr:colOff>
      <xdr:row>0</xdr:row>
      <xdr:rowOff>133350</xdr:rowOff>
    </xdr:to>
    <xdr:sp>
      <xdr:nvSpPr>
        <xdr:cNvPr id="193" name="Line 393"/>
        <xdr:cNvSpPr>
          <a:spLocks/>
        </xdr:cNvSpPr>
      </xdr:nvSpPr>
      <xdr:spPr>
        <a:xfrm>
          <a:off x="4371975" y="381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0</xdr:row>
      <xdr:rowOff>95250</xdr:rowOff>
    </xdr:from>
    <xdr:to>
      <xdr:col>25</xdr:col>
      <xdr:colOff>19050</xdr:colOff>
      <xdr:row>0</xdr:row>
      <xdr:rowOff>95250</xdr:rowOff>
    </xdr:to>
    <xdr:sp>
      <xdr:nvSpPr>
        <xdr:cNvPr id="194" name="Line 394"/>
        <xdr:cNvSpPr>
          <a:spLocks/>
        </xdr:cNvSpPr>
      </xdr:nvSpPr>
      <xdr:spPr>
        <a:xfrm>
          <a:off x="3914775" y="952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0</xdr:row>
      <xdr:rowOff>95250</xdr:rowOff>
    </xdr:from>
    <xdr:to>
      <xdr:col>27</xdr:col>
      <xdr:colOff>123825</xdr:colOff>
      <xdr:row>0</xdr:row>
      <xdr:rowOff>95250</xdr:rowOff>
    </xdr:to>
    <xdr:sp>
      <xdr:nvSpPr>
        <xdr:cNvPr id="195" name="Line 395"/>
        <xdr:cNvSpPr>
          <a:spLocks/>
        </xdr:cNvSpPr>
      </xdr:nvSpPr>
      <xdr:spPr>
        <a:xfrm flipH="1">
          <a:off x="4362450" y="9525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152400</xdr:colOff>
      <xdr:row>26</xdr:row>
      <xdr:rowOff>85725</xdr:rowOff>
    </xdr:from>
    <xdr:to>
      <xdr:col>29</xdr:col>
      <xdr:colOff>0</xdr:colOff>
      <xdr:row>26</xdr:row>
      <xdr:rowOff>85725</xdr:rowOff>
    </xdr:to>
    <xdr:sp>
      <xdr:nvSpPr>
        <xdr:cNvPr id="196" name="Line 396"/>
        <xdr:cNvSpPr>
          <a:spLocks/>
        </xdr:cNvSpPr>
      </xdr:nvSpPr>
      <xdr:spPr>
        <a:xfrm flipH="1">
          <a:off x="4524375" y="43338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57150</xdr:colOff>
      <xdr:row>26</xdr:row>
      <xdr:rowOff>95250</xdr:rowOff>
    </xdr:from>
    <xdr:to>
      <xdr:col>34</xdr:col>
      <xdr:colOff>0</xdr:colOff>
      <xdr:row>26</xdr:row>
      <xdr:rowOff>95250</xdr:rowOff>
    </xdr:to>
    <xdr:sp>
      <xdr:nvSpPr>
        <xdr:cNvPr id="197" name="Line 397"/>
        <xdr:cNvSpPr>
          <a:spLocks/>
        </xdr:cNvSpPr>
      </xdr:nvSpPr>
      <xdr:spPr>
        <a:xfrm>
          <a:off x="5238750" y="4343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4</xdr:row>
      <xdr:rowOff>9525</xdr:rowOff>
    </xdr:from>
    <xdr:to>
      <xdr:col>22</xdr:col>
      <xdr:colOff>123825</xdr:colOff>
      <xdr:row>4</xdr:row>
      <xdr:rowOff>9525</xdr:rowOff>
    </xdr:to>
    <xdr:sp>
      <xdr:nvSpPr>
        <xdr:cNvPr id="198" name="Line 398"/>
        <xdr:cNvSpPr>
          <a:spLocks/>
        </xdr:cNvSpPr>
      </xdr:nvSpPr>
      <xdr:spPr>
        <a:xfrm flipH="1">
          <a:off x="3476625" y="6572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xdr:row>
      <xdr:rowOff>9525</xdr:rowOff>
    </xdr:from>
    <xdr:to>
      <xdr:col>22</xdr:col>
      <xdr:colOff>0</xdr:colOff>
      <xdr:row>12</xdr:row>
      <xdr:rowOff>9525</xdr:rowOff>
    </xdr:to>
    <xdr:sp>
      <xdr:nvSpPr>
        <xdr:cNvPr id="199" name="Line 399"/>
        <xdr:cNvSpPr>
          <a:spLocks/>
        </xdr:cNvSpPr>
      </xdr:nvSpPr>
      <xdr:spPr>
        <a:xfrm flipV="1">
          <a:off x="3562350" y="657225"/>
          <a:ext cx="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13</xdr:row>
      <xdr:rowOff>0</xdr:rowOff>
    </xdr:from>
    <xdr:to>
      <xdr:col>21</xdr:col>
      <xdr:colOff>152400</xdr:colOff>
      <xdr:row>24</xdr:row>
      <xdr:rowOff>0</xdr:rowOff>
    </xdr:to>
    <xdr:sp>
      <xdr:nvSpPr>
        <xdr:cNvPr id="200" name="Line 400"/>
        <xdr:cNvSpPr>
          <a:spLocks/>
        </xdr:cNvSpPr>
      </xdr:nvSpPr>
      <xdr:spPr>
        <a:xfrm>
          <a:off x="3552825" y="2143125"/>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38100</xdr:colOff>
      <xdr:row>30</xdr:row>
      <xdr:rowOff>9525</xdr:rowOff>
    </xdr:from>
    <xdr:to>
      <xdr:col>32</xdr:col>
      <xdr:colOff>38100</xdr:colOff>
      <xdr:row>31</xdr:row>
      <xdr:rowOff>152400</xdr:rowOff>
    </xdr:to>
    <xdr:sp>
      <xdr:nvSpPr>
        <xdr:cNvPr id="201" name="Line 401"/>
        <xdr:cNvSpPr>
          <a:spLocks/>
        </xdr:cNvSpPr>
      </xdr:nvSpPr>
      <xdr:spPr>
        <a:xfrm flipH="1">
          <a:off x="5219700" y="49053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28</xdr:row>
      <xdr:rowOff>0</xdr:rowOff>
    </xdr:from>
    <xdr:to>
      <xdr:col>32</xdr:col>
      <xdr:colOff>47625</xdr:colOff>
      <xdr:row>29</xdr:row>
      <xdr:rowOff>9525</xdr:rowOff>
    </xdr:to>
    <xdr:sp>
      <xdr:nvSpPr>
        <xdr:cNvPr id="202" name="Line 402"/>
        <xdr:cNvSpPr>
          <a:spLocks/>
        </xdr:cNvSpPr>
      </xdr:nvSpPr>
      <xdr:spPr>
        <a:xfrm flipV="1">
          <a:off x="5229225" y="4572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4</xdr:row>
      <xdr:rowOff>0</xdr:rowOff>
    </xdr:from>
    <xdr:to>
      <xdr:col>32</xdr:col>
      <xdr:colOff>47625</xdr:colOff>
      <xdr:row>11</xdr:row>
      <xdr:rowOff>152400</xdr:rowOff>
    </xdr:to>
    <xdr:sp>
      <xdr:nvSpPr>
        <xdr:cNvPr id="203" name="Line 403"/>
        <xdr:cNvSpPr>
          <a:spLocks/>
        </xdr:cNvSpPr>
      </xdr:nvSpPr>
      <xdr:spPr>
        <a:xfrm flipV="1">
          <a:off x="5229225" y="647700"/>
          <a:ext cx="0" cy="1285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13</xdr:row>
      <xdr:rowOff>19050</xdr:rowOff>
    </xdr:from>
    <xdr:to>
      <xdr:col>32</xdr:col>
      <xdr:colOff>47625</xdr:colOff>
      <xdr:row>27</xdr:row>
      <xdr:rowOff>142875</xdr:rowOff>
    </xdr:to>
    <xdr:sp>
      <xdr:nvSpPr>
        <xdr:cNvPr id="204" name="Line 404"/>
        <xdr:cNvSpPr>
          <a:spLocks/>
        </xdr:cNvSpPr>
      </xdr:nvSpPr>
      <xdr:spPr>
        <a:xfrm>
          <a:off x="5229225" y="2162175"/>
          <a:ext cx="0" cy="239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17</xdr:row>
      <xdr:rowOff>114300</xdr:rowOff>
    </xdr:from>
    <xdr:to>
      <xdr:col>29</xdr:col>
      <xdr:colOff>0</xdr:colOff>
      <xdr:row>19</xdr:row>
      <xdr:rowOff>19050</xdr:rowOff>
    </xdr:to>
    <xdr:sp>
      <xdr:nvSpPr>
        <xdr:cNvPr id="205" name="Line 405"/>
        <xdr:cNvSpPr>
          <a:spLocks/>
        </xdr:cNvSpPr>
      </xdr:nvSpPr>
      <xdr:spPr>
        <a:xfrm>
          <a:off x="4695825" y="2905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17</xdr:row>
      <xdr:rowOff>104775</xdr:rowOff>
    </xdr:from>
    <xdr:to>
      <xdr:col>27</xdr:col>
      <xdr:colOff>0</xdr:colOff>
      <xdr:row>19</xdr:row>
      <xdr:rowOff>0</xdr:rowOff>
    </xdr:to>
    <xdr:sp>
      <xdr:nvSpPr>
        <xdr:cNvPr id="206" name="Line 406"/>
        <xdr:cNvSpPr>
          <a:spLocks/>
        </xdr:cNvSpPr>
      </xdr:nvSpPr>
      <xdr:spPr>
        <a:xfrm>
          <a:off x="4371975" y="28956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28</xdr:row>
      <xdr:rowOff>76200</xdr:rowOff>
    </xdr:from>
    <xdr:to>
      <xdr:col>28</xdr:col>
      <xdr:colOff>0</xdr:colOff>
      <xdr:row>29</xdr:row>
      <xdr:rowOff>152400</xdr:rowOff>
    </xdr:to>
    <xdr:sp>
      <xdr:nvSpPr>
        <xdr:cNvPr id="207" name="Line 407"/>
        <xdr:cNvSpPr>
          <a:spLocks/>
        </xdr:cNvSpPr>
      </xdr:nvSpPr>
      <xdr:spPr>
        <a:xfrm>
          <a:off x="4533900" y="4648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104775</xdr:rowOff>
    </xdr:from>
    <xdr:to>
      <xdr:col>25</xdr:col>
      <xdr:colOff>0</xdr:colOff>
      <xdr:row>25</xdr:row>
      <xdr:rowOff>152400</xdr:rowOff>
    </xdr:to>
    <xdr:sp>
      <xdr:nvSpPr>
        <xdr:cNvPr id="208" name="Line 408"/>
        <xdr:cNvSpPr>
          <a:spLocks/>
        </xdr:cNvSpPr>
      </xdr:nvSpPr>
      <xdr:spPr>
        <a:xfrm>
          <a:off x="4048125" y="40290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47625</xdr:colOff>
      <xdr:row>3</xdr:row>
      <xdr:rowOff>152400</xdr:rowOff>
    </xdr:from>
    <xdr:to>
      <xdr:col>32</xdr:col>
      <xdr:colOff>95250</xdr:colOff>
      <xdr:row>4</xdr:row>
      <xdr:rowOff>76200</xdr:rowOff>
    </xdr:to>
    <xdr:sp>
      <xdr:nvSpPr>
        <xdr:cNvPr id="209" name="Line 437"/>
        <xdr:cNvSpPr>
          <a:spLocks/>
        </xdr:cNvSpPr>
      </xdr:nvSpPr>
      <xdr:spPr>
        <a:xfrm>
          <a:off x="5229225" y="63817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26</xdr:row>
      <xdr:rowOff>95250</xdr:rowOff>
    </xdr:from>
    <xdr:to>
      <xdr:col>29</xdr:col>
      <xdr:colOff>66675</xdr:colOff>
      <xdr:row>26</xdr:row>
      <xdr:rowOff>95250</xdr:rowOff>
    </xdr:to>
    <xdr:sp>
      <xdr:nvSpPr>
        <xdr:cNvPr id="210" name="Line 442"/>
        <xdr:cNvSpPr>
          <a:spLocks/>
        </xdr:cNvSpPr>
      </xdr:nvSpPr>
      <xdr:spPr>
        <a:xfrm flipH="1">
          <a:off x="4533900" y="43434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27</xdr:row>
      <xdr:rowOff>152400</xdr:rowOff>
    </xdr:from>
    <xdr:to>
      <xdr:col>33</xdr:col>
      <xdr:colOff>152400</xdr:colOff>
      <xdr:row>32</xdr:row>
      <xdr:rowOff>0</xdr:rowOff>
    </xdr:to>
    <xdr:sp>
      <xdr:nvSpPr>
        <xdr:cNvPr id="211" name="Line 443"/>
        <xdr:cNvSpPr>
          <a:spLocks/>
        </xdr:cNvSpPr>
      </xdr:nvSpPr>
      <xdr:spPr>
        <a:xfrm>
          <a:off x="5495925" y="456247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31</xdr:row>
      <xdr:rowOff>152400</xdr:rowOff>
    </xdr:from>
    <xdr:to>
      <xdr:col>34</xdr:col>
      <xdr:colOff>0</xdr:colOff>
      <xdr:row>31</xdr:row>
      <xdr:rowOff>152400</xdr:rowOff>
    </xdr:to>
    <xdr:sp>
      <xdr:nvSpPr>
        <xdr:cNvPr id="212" name="Line 444"/>
        <xdr:cNvSpPr>
          <a:spLocks/>
        </xdr:cNvSpPr>
      </xdr:nvSpPr>
      <xdr:spPr>
        <a:xfrm>
          <a:off x="3086100" y="5210175"/>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33</xdr:row>
      <xdr:rowOff>28575</xdr:rowOff>
    </xdr:from>
    <xdr:to>
      <xdr:col>19</xdr:col>
      <xdr:colOff>9525</xdr:colOff>
      <xdr:row>38</xdr:row>
      <xdr:rowOff>19050</xdr:rowOff>
    </xdr:to>
    <xdr:sp>
      <xdr:nvSpPr>
        <xdr:cNvPr id="213" name="Line 445"/>
        <xdr:cNvSpPr>
          <a:spLocks/>
        </xdr:cNvSpPr>
      </xdr:nvSpPr>
      <xdr:spPr>
        <a:xfrm>
          <a:off x="3086100" y="54102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33</xdr:row>
      <xdr:rowOff>0</xdr:rowOff>
    </xdr:from>
    <xdr:to>
      <xdr:col>33</xdr:col>
      <xdr:colOff>142875</xdr:colOff>
      <xdr:row>33</xdr:row>
      <xdr:rowOff>0</xdr:rowOff>
    </xdr:to>
    <xdr:sp>
      <xdr:nvSpPr>
        <xdr:cNvPr id="214" name="Line 446"/>
        <xdr:cNvSpPr>
          <a:spLocks/>
        </xdr:cNvSpPr>
      </xdr:nvSpPr>
      <xdr:spPr>
        <a:xfrm>
          <a:off x="3076575" y="538162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32</xdr:row>
      <xdr:rowOff>152400</xdr:rowOff>
    </xdr:from>
    <xdr:to>
      <xdr:col>33</xdr:col>
      <xdr:colOff>152400</xdr:colOff>
      <xdr:row>34</xdr:row>
      <xdr:rowOff>133350</xdr:rowOff>
    </xdr:to>
    <xdr:sp>
      <xdr:nvSpPr>
        <xdr:cNvPr id="215" name="Line 447"/>
        <xdr:cNvSpPr>
          <a:spLocks/>
        </xdr:cNvSpPr>
      </xdr:nvSpPr>
      <xdr:spPr>
        <a:xfrm>
          <a:off x="5495925" y="5372100"/>
          <a:ext cx="0" cy="3048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34</xdr:row>
      <xdr:rowOff>142875</xdr:rowOff>
    </xdr:from>
    <xdr:to>
      <xdr:col>33</xdr:col>
      <xdr:colOff>152400</xdr:colOff>
      <xdr:row>38</xdr:row>
      <xdr:rowOff>9525</xdr:rowOff>
    </xdr:to>
    <xdr:sp>
      <xdr:nvSpPr>
        <xdr:cNvPr id="216" name="Line 448"/>
        <xdr:cNvSpPr>
          <a:spLocks/>
        </xdr:cNvSpPr>
      </xdr:nvSpPr>
      <xdr:spPr>
        <a:xfrm flipH="1">
          <a:off x="3086100" y="5686425"/>
          <a:ext cx="24098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33</xdr:row>
      <xdr:rowOff>9525</xdr:rowOff>
    </xdr:from>
    <xdr:to>
      <xdr:col>24</xdr:col>
      <xdr:colOff>9525</xdr:colOff>
      <xdr:row>36</xdr:row>
      <xdr:rowOff>142875</xdr:rowOff>
    </xdr:to>
    <xdr:sp>
      <xdr:nvSpPr>
        <xdr:cNvPr id="217" name="Line 449"/>
        <xdr:cNvSpPr>
          <a:spLocks/>
        </xdr:cNvSpPr>
      </xdr:nvSpPr>
      <xdr:spPr>
        <a:xfrm flipV="1">
          <a:off x="3895725" y="5391150"/>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33</xdr:row>
      <xdr:rowOff>19050</xdr:rowOff>
    </xdr:from>
    <xdr:to>
      <xdr:col>23</xdr:col>
      <xdr:colOff>0</xdr:colOff>
      <xdr:row>37</xdr:row>
      <xdr:rowOff>19050</xdr:rowOff>
    </xdr:to>
    <xdr:sp>
      <xdr:nvSpPr>
        <xdr:cNvPr id="218" name="Line 450"/>
        <xdr:cNvSpPr>
          <a:spLocks/>
        </xdr:cNvSpPr>
      </xdr:nvSpPr>
      <xdr:spPr>
        <a:xfrm flipV="1">
          <a:off x="3724275" y="54006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33</xdr:row>
      <xdr:rowOff>0</xdr:rowOff>
    </xdr:from>
    <xdr:to>
      <xdr:col>22</xdr:col>
      <xdr:colOff>0</xdr:colOff>
      <xdr:row>37</xdr:row>
      <xdr:rowOff>66675</xdr:rowOff>
    </xdr:to>
    <xdr:sp>
      <xdr:nvSpPr>
        <xdr:cNvPr id="219" name="Line 451"/>
        <xdr:cNvSpPr>
          <a:spLocks/>
        </xdr:cNvSpPr>
      </xdr:nvSpPr>
      <xdr:spPr>
        <a:xfrm flipV="1">
          <a:off x="3562350" y="5381625"/>
          <a:ext cx="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33</xdr:row>
      <xdr:rowOff>9525</xdr:rowOff>
    </xdr:from>
    <xdr:to>
      <xdr:col>21</xdr:col>
      <xdr:colOff>0</xdr:colOff>
      <xdr:row>37</xdr:row>
      <xdr:rowOff>95250</xdr:rowOff>
    </xdr:to>
    <xdr:sp>
      <xdr:nvSpPr>
        <xdr:cNvPr id="220" name="Line 452"/>
        <xdr:cNvSpPr>
          <a:spLocks/>
        </xdr:cNvSpPr>
      </xdr:nvSpPr>
      <xdr:spPr>
        <a:xfrm flipV="1">
          <a:off x="3400425" y="539115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33</xdr:row>
      <xdr:rowOff>0</xdr:rowOff>
    </xdr:from>
    <xdr:to>
      <xdr:col>20</xdr:col>
      <xdr:colOff>9525</xdr:colOff>
      <xdr:row>37</xdr:row>
      <xdr:rowOff>123825</xdr:rowOff>
    </xdr:to>
    <xdr:sp>
      <xdr:nvSpPr>
        <xdr:cNvPr id="221" name="Line 453"/>
        <xdr:cNvSpPr>
          <a:spLocks/>
        </xdr:cNvSpPr>
      </xdr:nvSpPr>
      <xdr:spPr>
        <a:xfrm flipV="1">
          <a:off x="3248025" y="538162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33</xdr:row>
      <xdr:rowOff>9525</xdr:rowOff>
    </xdr:from>
    <xdr:to>
      <xdr:col>19</xdr:col>
      <xdr:colOff>9525</xdr:colOff>
      <xdr:row>38</xdr:row>
      <xdr:rowOff>0</xdr:rowOff>
    </xdr:to>
    <xdr:sp>
      <xdr:nvSpPr>
        <xdr:cNvPr id="222" name="Line 454"/>
        <xdr:cNvSpPr>
          <a:spLocks/>
        </xdr:cNvSpPr>
      </xdr:nvSpPr>
      <xdr:spPr>
        <a:xfrm flipV="1">
          <a:off x="3086100" y="5391150"/>
          <a:ext cx="0" cy="8001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33</xdr:row>
      <xdr:rowOff>19050</xdr:rowOff>
    </xdr:from>
    <xdr:to>
      <xdr:col>25</xdr:col>
      <xdr:colOff>9525</xdr:colOff>
      <xdr:row>36</xdr:row>
      <xdr:rowOff>114300</xdr:rowOff>
    </xdr:to>
    <xdr:sp>
      <xdr:nvSpPr>
        <xdr:cNvPr id="223" name="Line 455"/>
        <xdr:cNvSpPr>
          <a:spLocks/>
        </xdr:cNvSpPr>
      </xdr:nvSpPr>
      <xdr:spPr>
        <a:xfrm flipV="1">
          <a:off x="4057650" y="540067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33</xdr:row>
      <xdr:rowOff>19050</xdr:rowOff>
    </xdr:from>
    <xdr:to>
      <xdr:col>26</xdr:col>
      <xdr:colOff>9525</xdr:colOff>
      <xdr:row>36</xdr:row>
      <xdr:rowOff>66675</xdr:rowOff>
    </xdr:to>
    <xdr:sp>
      <xdr:nvSpPr>
        <xdr:cNvPr id="224" name="Line 456"/>
        <xdr:cNvSpPr>
          <a:spLocks/>
        </xdr:cNvSpPr>
      </xdr:nvSpPr>
      <xdr:spPr>
        <a:xfrm flipV="1">
          <a:off x="4219575" y="54006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33</xdr:row>
      <xdr:rowOff>19050</xdr:rowOff>
    </xdr:from>
    <xdr:to>
      <xdr:col>27</xdr:col>
      <xdr:colOff>9525</xdr:colOff>
      <xdr:row>36</xdr:row>
      <xdr:rowOff>47625</xdr:rowOff>
    </xdr:to>
    <xdr:sp>
      <xdr:nvSpPr>
        <xdr:cNvPr id="225" name="Line 457"/>
        <xdr:cNvSpPr>
          <a:spLocks/>
        </xdr:cNvSpPr>
      </xdr:nvSpPr>
      <xdr:spPr>
        <a:xfrm flipV="1">
          <a:off x="4381500" y="540067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36</xdr:row>
      <xdr:rowOff>0</xdr:rowOff>
    </xdr:to>
    <xdr:sp>
      <xdr:nvSpPr>
        <xdr:cNvPr id="226" name="Line 458"/>
        <xdr:cNvSpPr>
          <a:spLocks/>
        </xdr:cNvSpPr>
      </xdr:nvSpPr>
      <xdr:spPr>
        <a:xfrm flipV="1">
          <a:off x="4533900" y="53816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33</xdr:row>
      <xdr:rowOff>0</xdr:rowOff>
    </xdr:from>
    <xdr:to>
      <xdr:col>29</xdr:col>
      <xdr:colOff>0</xdr:colOff>
      <xdr:row>35</xdr:row>
      <xdr:rowOff>114300</xdr:rowOff>
    </xdr:to>
    <xdr:sp>
      <xdr:nvSpPr>
        <xdr:cNvPr id="227" name="Line 459"/>
        <xdr:cNvSpPr>
          <a:spLocks/>
        </xdr:cNvSpPr>
      </xdr:nvSpPr>
      <xdr:spPr>
        <a:xfrm flipV="1">
          <a:off x="4695825" y="53816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32</xdr:row>
      <xdr:rowOff>152400</xdr:rowOff>
    </xdr:from>
    <xdr:to>
      <xdr:col>30</xdr:col>
      <xdr:colOff>0</xdr:colOff>
      <xdr:row>35</xdr:row>
      <xdr:rowOff>85725</xdr:rowOff>
    </xdr:to>
    <xdr:sp>
      <xdr:nvSpPr>
        <xdr:cNvPr id="228" name="Line 460"/>
        <xdr:cNvSpPr>
          <a:spLocks/>
        </xdr:cNvSpPr>
      </xdr:nvSpPr>
      <xdr:spPr>
        <a:xfrm flipV="1">
          <a:off x="4857750" y="5372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32</xdr:row>
      <xdr:rowOff>152400</xdr:rowOff>
    </xdr:from>
    <xdr:to>
      <xdr:col>32</xdr:col>
      <xdr:colOff>0</xdr:colOff>
      <xdr:row>35</xdr:row>
      <xdr:rowOff>47625</xdr:rowOff>
    </xdr:to>
    <xdr:sp>
      <xdr:nvSpPr>
        <xdr:cNvPr id="229" name="Line 461"/>
        <xdr:cNvSpPr>
          <a:spLocks/>
        </xdr:cNvSpPr>
      </xdr:nvSpPr>
      <xdr:spPr>
        <a:xfrm flipV="1">
          <a:off x="5181600" y="53721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32</xdr:row>
      <xdr:rowOff>152400</xdr:rowOff>
    </xdr:from>
    <xdr:to>
      <xdr:col>33</xdr:col>
      <xdr:colOff>0</xdr:colOff>
      <xdr:row>35</xdr:row>
      <xdr:rowOff>9525</xdr:rowOff>
    </xdr:to>
    <xdr:sp>
      <xdr:nvSpPr>
        <xdr:cNvPr id="230" name="Line 462"/>
        <xdr:cNvSpPr>
          <a:spLocks/>
        </xdr:cNvSpPr>
      </xdr:nvSpPr>
      <xdr:spPr>
        <a:xfrm flipV="1">
          <a:off x="5343525" y="53721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38100</xdr:rowOff>
    </xdr:from>
    <xdr:to>
      <xdr:col>15</xdr:col>
      <xdr:colOff>0</xdr:colOff>
      <xdr:row>43</xdr:row>
      <xdr:rowOff>133350</xdr:rowOff>
    </xdr:to>
    <xdr:sp>
      <xdr:nvSpPr>
        <xdr:cNvPr id="231" name="Line 463"/>
        <xdr:cNvSpPr>
          <a:spLocks/>
        </xdr:cNvSpPr>
      </xdr:nvSpPr>
      <xdr:spPr>
        <a:xfrm>
          <a:off x="2428875" y="70389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9525</xdr:rowOff>
    </xdr:from>
    <xdr:to>
      <xdr:col>15</xdr:col>
      <xdr:colOff>0</xdr:colOff>
      <xdr:row>43</xdr:row>
      <xdr:rowOff>76200</xdr:rowOff>
    </xdr:to>
    <xdr:sp>
      <xdr:nvSpPr>
        <xdr:cNvPr id="232" name="Line 465"/>
        <xdr:cNvSpPr>
          <a:spLocks/>
        </xdr:cNvSpPr>
      </xdr:nvSpPr>
      <xdr:spPr>
        <a:xfrm flipH="1">
          <a:off x="2428875" y="70104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233" name="Line 466"/>
        <xdr:cNvSpPr>
          <a:spLocks/>
        </xdr:cNvSpPr>
      </xdr:nvSpPr>
      <xdr:spPr>
        <a:xfrm flipH="1">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234" name="Line 467"/>
        <xdr:cNvSpPr>
          <a:spLocks/>
        </xdr:cNvSpPr>
      </xdr:nvSpPr>
      <xdr:spPr>
        <a:xfrm flipH="1">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235" name="Line 468"/>
        <xdr:cNvSpPr>
          <a:spLocks/>
        </xdr:cNvSpPr>
      </xdr:nvSpPr>
      <xdr:spPr>
        <a:xfrm>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9525</xdr:rowOff>
    </xdr:from>
    <xdr:to>
      <xdr:col>15</xdr:col>
      <xdr:colOff>0</xdr:colOff>
      <xdr:row>43</xdr:row>
      <xdr:rowOff>76200</xdr:rowOff>
    </xdr:to>
    <xdr:sp>
      <xdr:nvSpPr>
        <xdr:cNvPr id="236" name="Line 469"/>
        <xdr:cNvSpPr>
          <a:spLocks/>
        </xdr:cNvSpPr>
      </xdr:nvSpPr>
      <xdr:spPr>
        <a:xfrm flipH="1">
          <a:off x="2428875" y="70104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76200</xdr:rowOff>
    </xdr:to>
    <xdr:sp>
      <xdr:nvSpPr>
        <xdr:cNvPr id="237" name="Line 470"/>
        <xdr:cNvSpPr>
          <a:spLocks/>
        </xdr:cNvSpPr>
      </xdr:nvSpPr>
      <xdr:spPr>
        <a:xfrm flipH="1">
          <a:off x="2428875" y="70008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43</xdr:row>
      <xdr:rowOff>0</xdr:rowOff>
    </xdr:from>
    <xdr:to>
      <xdr:col>15</xdr:col>
      <xdr:colOff>0</xdr:colOff>
      <xdr:row>43</xdr:row>
      <xdr:rowOff>66675</xdr:rowOff>
    </xdr:to>
    <xdr:sp>
      <xdr:nvSpPr>
        <xdr:cNvPr id="238" name="Line 471"/>
        <xdr:cNvSpPr>
          <a:spLocks/>
        </xdr:cNvSpPr>
      </xdr:nvSpPr>
      <xdr:spPr>
        <a:xfrm flipH="1">
          <a:off x="2428875" y="70008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4</xdr:row>
      <xdr:rowOff>0</xdr:rowOff>
    </xdr:from>
    <xdr:to>
      <xdr:col>53</xdr:col>
      <xdr:colOff>9525</xdr:colOff>
      <xdr:row>31</xdr:row>
      <xdr:rowOff>152400</xdr:rowOff>
    </xdr:to>
    <xdr:sp>
      <xdr:nvSpPr>
        <xdr:cNvPr id="239" name="Line 475"/>
        <xdr:cNvSpPr>
          <a:spLocks/>
        </xdr:cNvSpPr>
      </xdr:nvSpPr>
      <xdr:spPr>
        <a:xfrm flipV="1">
          <a:off x="8591550" y="647700"/>
          <a:ext cx="0" cy="456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31</xdr:row>
      <xdr:rowOff>142875</xdr:rowOff>
    </xdr:from>
    <xdr:to>
      <xdr:col>56</xdr:col>
      <xdr:colOff>0</xdr:colOff>
      <xdr:row>31</xdr:row>
      <xdr:rowOff>142875</xdr:rowOff>
    </xdr:to>
    <xdr:sp>
      <xdr:nvSpPr>
        <xdr:cNvPr id="240" name="Line 478"/>
        <xdr:cNvSpPr>
          <a:spLocks/>
        </xdr:cNvSpPr>
      </xdr:nvSpPr>
      <xdr:spPr>
        <a:xfrm>
          <a:off x="8582025" y="5200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3</xdr:row>
      <xdr:rowOff>152400</xdr:rowOff>
    </xdr:from>
    <xdr:to>
      <xdr:col>56</xdr:col>
      <xdr:colOff>0</xdr:colOff>
      <xdr:row>31</xdr:row>
      <xdr:rowOff>142875</xdr:rowOff>
    </xdr:to>
    <xdr:sp>
      <xdr:nvSpPr>
        <xdr:cNvPr id="241" name="Line 479"/>
        <xdr:cNvSpPr>
          <a:spLocks/>
        </xdr:cNvSpPr>
      </xdr:nvSpPr>
      <xdr:spPr>
        <a:xfrm flipH="1" flipV="1">
          <a:off x="8591550" y="638175"/>
          <a:ext cx="476250" cy="456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5</xdr:row>
      <xdr:rowOff>9525</xdr:rowOff>
    </xdr:from>
    <xdr:to>
      <xdr:col>53</xdr:col>
      <xdr:colOff>28575</xdr:colOff>
      <xdr:row>5</xdr:row>
      <xdr:rowOff>9525</xdr:rowOff>
    </xdr:to>
    <xdr:sp>
      <xdr:nvSpPr>
        <xdr:cNvPr id="242" name="Line 480"/>
        <xdr:cNvSpPr>
          <a:spLocks/>
        </xdr:cNvSpPr>
      </xdr:nvSpPr>
      <xdr:spPr>
        <a:xfrm>
          <a:off x="8582025" y="8191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7</xdr:row>
      <xdr:rowOff>9525</xdr:rowOff>
    </xdr:from>
    <xdr:to>
      <xdr:col>53</xdr:col>
      <xdr:colOff>66675</xdr:colOff>
      <xdr:row>7</xdr:row>
      <xdr:rowOff>9525</xdr:rowOff>
    </xdr:to>
    <xdr:sp>
      <xdr:nvSpPr>
        <xdr:cNvPr id="243" name="Line 482"/>
        <xdr:cNvSpPr>
          <a:spLocks/>
        </xdr:cNvSpPr>
      </xdr:nvSpPr>
      <xdr:spPr>
        <a:xfrm>
          <a:off x="8591550" y="11430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6</xdr:row>
      <xdr:rowOff>0</xdr:rowOff>
    </xdr:from>
    <xdr:to>
      <xdr:col>53</xdr:col>
      <xdr:colOff>47625</xdr:colOff>
      <xdr:row>6</xdr:row>
      <xdr:rowOff>0</xdr:rowOff>
    </xdr:to>
    <xdr:sp>
      <xdr:nvSpPr>
        <xdr:cNvPr id="244" name="Line 483"/>
        <xdr:cNvSpPr>
          <a:spLocks/>
        </xdr:cNvSpPr>
      </xdr:nvSpPr>
      <xdr:spPr>
        <a:xfrm>
          <a:off x="8591550" y="9715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8</xdr:row>
      <xdr:rowOff>9525</xdr:rowOff>
    </xdr:from>
    <xdr:to>
      <xdr:col>53</xdr:col>
      <xdr:colOff>85725</xdr:colOff>
      <xdr:row>8</xdr:row>
      <xdr:rowOff>9525</xdr:rowOff>
    </xdr:to>
    <xdr:sp>
      <xdr:nvSpPr>
        <xdr:cNvPr id="245" name="Line 484"/>
        <xdr:cNvSpPr>
          <a:spLocks/>
        </xdr:cNvSpPr>
      </xdr:nvSpPr>
      <xdr:spPr>
        <a:xfrm>
          <a:off x="8591550" y="13049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9</xdr:row>
      <xdr:rowOff>9525</xdr:rowOff>
    </xdr:from>
    <xdr:to>
      <xdr:col>53</xdr:col>
      <xdr:colOff>85725</xdr:colOff>
      <xdr:row>9</xdr:row>
      <xdr:rowOff>9525</xdr:rowOff>
    </xdr:to>
    <xdr:sp>
      <xdr:nvSpPr>
        <xdr:cNvPr id="246" name="Line 485"/>
        <xdr:cNvSpPr>
          <a:spLocks/>
        </xdr:cNvSpPr>
      </xdr:nvSpPr>
      <xdr:spPr>
        <a:xfrm>
          <a:off x="8591550" y="146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xdr:row>
      <xdr:rowOff>9525</xdr:rowOff>
    </xdr:from>
    <xdr:to>
      <xdr:col>53</xdr:col>
      <xdr:colOff>114300</xdr:colOff>
      <xdr:row>10</xdr:row>
      <xdr:rowOff>9525</xdr:rowOff>
    </xdr:to>
    <xdr:sp>
      <xdr:nvSpPr>
        <xdr:cNvPr id="247" name="Line 486"/>
        <xdr:cNvSpPr>
          <a:spLocks/>
        </xdr:cNvSpPr>
      </xdr:nvSpPr>
      <xdr:spPr>
        <a:xfrm>
          <a:off x="8591550" y="16287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11</xdr:row>
      <xdr:rowOff>0</xdr:rowOff>
    </xdr:from>
    <xdr:to>
      <xdr:col>53</xdr:col>
      <xdr:colOff>123825</xdr:colOff>
      <xdr:row>11</xdr:row>
      <xdr:rowOff>0</xdr:rowOff>
    </xdr:to>
    <xdr:sp>
      <xdr:nvSpPr>
        <xdr:cNvPr id="248" name="Line 487"/>
        <xdr:cNvSpPr>
          <a:spLocks/>
        </xdr:cNvSpPr>
      </xdr:nvSpPr>
      <xdr:spPr>
        <a:xfrm>
          <a:off x="8591550" y="17811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12</xdr:row>
      <xdr:rowOff>9525</xdr:rowOff>
    </xdr:from>
    <xdr:to>
      <xdr:col>53</xdr:col>
      <xdr:colOff>142875</xdr:colOff>
      <xdr:row>12</xdr:row>
      <xdr:rowOff>9525</xdr:rowOff>
    </xdr:to>
    <xdr:sp>
      <xdr:nvSpPr>
        <xdr:cNvPr id="249" name="Line 488"/>
        <xdr:cNvSpPr>
          <a:spLocks/>
        </xdr:cNvSpPr>
      </xdr:nvSpPr>
      <xdr:spPr>
        <a:xfrm>
          <a:off x="8591550" y="19526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13</xdr:row>
      <xdr:rowOff>9525</xdr:rowOff>
    </xdr:from>
    <xdr:to>
      <xdr:col>54</xdr:col>
      <xdr:colOff>0</xdr:colOff>
      <xdr:row>13</xdr:row>
      <xdr:rowOff>9525</xdr:rowOff>
    </xdr:to>
    <xdr:sp>
      <xdr:nvSpPr>
        <xdr:cNvPr id="250" name="Line 489"/>
        <xdr:cNvSpPr>
          <a:spLocks/>
        </xdr:cNvSpPr>
      </xdr:nvSpPr>
      <xdr:spPr>
        <a:xfrm>
          <a:off x="8591550" y="2152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14</xdr:row>
      <xdr:rowOff>9525</xdr:rowOff>
    </xdr:from>
    <xdr:to>
      <xdr:col>54</xdr:col>
      <xdr:colOff>9525</xdr:colOff>
      <xdr:row>14</xdr:row>
      <xdr:rowOff>9525</xdr:rowOff>
    </xdr:to>
    <xdr:sp>
      <xdr:nvSpPr>
        <xdr:cNvPr id="251" name="Line 490"/>
        <xdr:cNvSpPr>
          <a:spLocks/>
        </xdr:cNvSpPr>
      </xdr:nvSpPr>
      <xdr:spPr>
        <a:xfrm>
          <a:off x="8591550" y="23145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15</xdr:row>
      <xdr:rowOff>9525</xdr:rowOff>
    </xdr:from>
    <xdr:to>
      <xdr:col>54</xdr:col>
      <xdr:colOff>28575</xdr:colOff>
      <xdr:row>15</xdr:row>
      <xdr:rowOff>9525</xdr:rowOff>
    </xdr:to>
    <xdr:sp>
      <xdr:nvSpPr>
        <xdr:cNvPr id="252" name="Line 491"/>
        <xdr:cNvSpPr>
          <a:spLocks/>
        </xdr:cNvSpPr>
      </xdr:nvSpPr>
      <xdr:spPr>
        <a:xfrm>
          <a:off x="8591550" y="24765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16</xdr:row>
      <xdr:rowOff>0</xdr:rowOff>
    </xdr:from>
    <xdr:to>
      <xdr:col>54</xdr:col>
      <xdr:colOff>47625</xdr:colOff>
      <xdr:row>16</xdr:row>
      <xdr:rowOff>0</xdr:rowOff>
    </xdr:to>
    <xdr:sp>
      <xdr:nvSpPr>
        <xdr:cNvPr id="253" name="Line 492"/>
        <xdr:cNvSpPr>
          <a:spLocks/>
        </xdr:cNvSpPr>
      </xdr:nvSpPr>
      <xdr:spPr>
        <a:xfrm>
          <a:off x="8591550" y="2628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17</xdr:row>
      <xdr:rowOff>9525</xdr:rowOff>
    </xdr:from>
    <xdr:to>
      <xdr:col>54</xdr:col>
      <xdr:colOff>66675</xdr:colOff>
      <xdr:row>17</xdr:row>
      <xdr:rowOff>9525</xdr:rowOff>
    </xdr:to>
    <xdr:sp>
      <xdr:nvSpPr>
        <xdr:cNvPr id="254" name="Line 493"/>
        <xdr:cNvSpPr>
          <a:spLocks/>
        </xdr:cNvSpPr>
      </xdr:nvSpPr>
      <xdr:spPr>
        <a:xfrm>
          <a:off x="8582025" y="28003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18</xdr:row>
      <xdr:rowOff>0</xdr:rowOff>
    </xdr:from>
    <xdr:to>
      <xdr:col>54</xdr:col>
      <xdr:colOff>76200</xdr:colOff>
      <xdr:row>18</xdr:row>
      <xdr:rowOff>0</xdr:rowOff>
    </xdr:to>
    <xdr:sp>
      <xdr:nvSpPr>
        <xdr:cNvPr id="255" name="Line 494"/>
        <xdr:cNvSpPr>
          <a:spLocks/>
        </xdr:cNvSpPr>
      </xdr:nvSpPr>
      <xdr:spPr>
        <a:xfrm>
          <a:off x="8582025" y="29527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19</xdr:row>
      <xdr:rowOff>9525</xdr:rowOff>
    </xdr:from>
    <xdr:to>
      <xdr:col>54</xdr:col>
      <xdr:colOff>85725</xdr:colOff>
      <xdr:row>19</xdr:row>
      <xdr:rowOff>9525</xdr:rowOff>
    </xdr:to>
    <xdr:sp>
      <xdr:nvSpPr>
        <xdr:cNvPr id="256" name="Line 495"/>
        <xdr:cNvSpPr>
          <a:spLocks/>
        </xdr:cNvSpPr>
      </xdr:nvSpPr>
      <xdr:spPr>
        <a:xfrm>
          <a:off x="8591550" y="31242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20</xdr:row>
      <xdr:rowOff>9525</xdr:rowOff>
    </xdr:from>
    <xdr:to>
      <xdr:col>54</xdr:col>
      <xdr:colOff>114300</xdr:colOff>
      <xdr:row>20</xdr:row>
      <xdr:rowOff>9525</xdr:rowOff>
    </xdr:to>
    <xdr:sp>
      <xdr:nvSpPr>
        <xdr:cNvPr id="257" name="Line 496"/>
        <xdr:cNvSpPr>
          <a:spLocks/>
        </xdr:cNvSpPr>
      </xdr:nvSpPr>
      <xdr:spPr>
        <a:xfrm>
          <a:off x="8591550" y="32861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21</xdr:row>
      <xdr:rowOff>0</xdr:rowOff>
    </xdr:from>
    <xdr:to>
      <xdr:col>54</xdr:col>
      <xdr:colOff>114300</xdr:colOff>
      <xdr:row>21</xdr:row>
      <xdr:rowOff>0</xdr:rowOff>
    </xdr:to>
    <xdr:sp>
      <xdr:nvSpPr>
        <xdr:cNvPr id="258" name="Line 497"/>
        <xdr:cNvSpPr>
          <a:spLocks/>
        </xdr:cNvSpPr>
      </xdr:nvSpPr>
      <xdr:spPr>
        <a:xfrm>
          <a:off x="8591550" y="34385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xdr:colOff>
      <xdr:row>21</xdr:row>
      <xdr:rowOff>0</xdr:rowOff>
    </xdr:from>
    <xdr:to>
      <xdr:col>54</xdr:col>
      <xdr:colOff>142875</xdr:colOff>
      <xdr:row>21</xdr:row>
      <xdr:rowOff>0</xdr:rowOff>
    </xdr:to>
    <xdr:sp>
      <xdr:nvSpPr>
        <xdr:cNvPr id="259" name="Line 498"/>
        <xdr:cNvSpPr>
          <a:spLocks/>
        </xdr:cNvSpPr>
      </xdr:nvSpPr>
      <xdr:spPr>
        <a:xfrm>
          <a:off x="8601075" y="34385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21</xdr:row>
      <xdr:rowOff>9525</xdr:rowOff>
    </xdr:from>
    <xdr:to>
      <xdr:col>54</xdr:col>
      <xdr:colOff>152400</xdr:colOff>
      <xdr:row>21</xdr:row>
      <xdr:rowOff>9525</xdr:rowOff>
    </xdr:to>
    <xdr:sp>
      <xdr:nvSpPr>
        <xdr:cNvPr id="260" name="Line 499"/>
        <xdr:cNvSpPr>
          <a:spLocks/>
        </xdr:cNvSpPr>
      </xdr:nvSpPr>
      <xdr:spPr>
        <a:xfrm>
          <a:off x="8591550" y="3448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22</xdr:row>
      <xdr:rowOff>9525</xdr:rowOff>
    </xdr:from>
    <xdr:to>
      <xdr:col>55</xdr:col>
      <xdr:colOff>0</xdr:colOff>
      <xdr:row>22</xdr:row>
      <xdr:rowOff>9525</xdr:rowOff>
    </xdr:to>
    <xdr:sp>
      <xdr:nvSpPr>
        <xdr:cNvPr id="261" name="Line 500"/>
        <xdr:cNvSpPr>
          <a:spLocks/>
        </xdr:cNvSpPr>
      </xdr:nvSpPr>
      <xdr:spPr>
        <a:xfrm>
          <a:off x="8591550" y="36099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23</xdr:row>
      <xdr:rowOff>0</xdr:rowOff>
    </xdr:from>
    <xdr:to>
      <xdr:col>55</xdr:col>
      <xdr:colOff>28575</xdr:colOff>
      <xdr:row>23</xdr:row>
      <xdr:rowOff>0</xdr:rowOff>
    </xdr:to>
    <xdr:sp>
      <xdr:nvSpPr>
        <xdr:cNvPr id="262" name="Line 501"/>
        <xdr:cNvSpPr>
          <a:spLocks/>
        </xdr:cNvSpPr>
      </xdr:nvSpPr>
      <xdr:spPr>
        <a:xfrm>
          <a:off x="8582025" y="37623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24</xdr:row>
      <xdr:rowOff>0</xdr:rowOff>
    </xdr:from>
    <xdr:to>
      <xdr:col>55</xdr:col>
      <xdr:colOff>57150</xdr:colOff>
      <xdr:row>24</xdr:row>
      <xdr:rowOff>0</xdr:rowOff>
    </xdr:to>
    <xdr:sp>
      <xdr:nvSpPr>
        <xdr:cNvPr id="263" name="Line 502"/>
        <xdr:cNvSpPr>
          <a:spLocks/>
        </xdr:cNvSpPr>
      </xdr:nvSpPr>
      <xdr:spPr>
        <a:xfrm>
          <a:off x="8591550" y="39243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25</xdr:row>
      <xdr:rowOff>9525</xdr:rowOff>
    </xdr:from>
    <xdr:to>
      <xdr:col>55</xdr:col>
      <xdr:colOff>57150</xdr:colOff>
      <xdr:row>25</xdr:row>
      <xdr:rowOff>9525</xdr:rowOff>
    </xdr:to>
    <xdr:sp>
      <xdr:nvSpPr>
        <xdr:cNvPr id="264" name="Line 503"/>
        <xdr:cNvSpPr>
          <a:spLocks/>
        </xdr:cNvSpPr>
      </xdr:nvSpPr>
      <xdr:spPr>
        <a:xfrm>
          <a:off x="8591550" y="40957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28575</xdr:colOff>
      <xdr:row>26</xdr:row>
      <xdr:rowOff>0</xdr:rowOff>
    </xdr:from>
    <xdr:to>
      <xdr:col>55</xdr:col>
      <xdr:colOff>76200</xdr:colOff>
      <xdr:row>26</xdr:row>
      <xdr:rowOff>0</xdr:rowOff>
    </xdr:to>
    <xdr:sp>
      <xdr:nvSpPr>
        <xdr:cNvPr id="265" name="Line 504"/>
        <xdr:cNvSpPr>
          <a:spLocks/>
        </xdr:cNvSpPr>
      </xdr:nvSpPr>
      <xdr:spPr>
        <a:xfrm>
          <a:off x="8610600" y="42481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27</xdr:row>
      <xdr:rowOff>0</xdr:rowOff>
    </xdr:from>
    <xdr:to>
      <xdr:col>55</xdr:col>
      <xdr:colOff>85725</xdr:colOff>
      <xdr:row>27</xdr:row>
      <xdr:rowOff>0</xdr:rowOff>
    </xdr:to>
    <xdr:sp>
      <xdr:nvSpPr>
        <xdr:cNvPr id="266" name="Line 505"/>
        <xdr:cNvSpPr>
          <a:spLocks/>
        </xdr:cNvSpPr>
      </xdr:nvSpPr>
      <xdr:spPr>
        <a:xfrm>
          <a:off x="8591550" y="44100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xdr:colOff>
      <xdr:row>28</xdr:row>
      <xdr:rowOff>9525</xdr:rowOff>
    </xdr:from>
    <xdr:to>
      <xdr:col>55</xdr:col>
      <xdr:colOff>95250</xdr:colOff>
      <xdr:row>28</xdr:row>
      <xdr:rowOff>9525</xdr:rowOff>
    </xdr:to>
    <xdr:sp>
      <xdr:nvSpPr>
        <xdr:cNvPr id="267" name="Line 506"/>
        <xdr:cNvSpPr>
          <a:spLocks/>
        </xdr:cNvSpPr>
      </xdr:nvSpPr>
      <xdr:spPr>
        <a:xfrm>
          <a:off x="8601075" y="45815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29</xdr:row>
      <xdr:rowOff>0</xdr:rowOff>
    </xdr:from>
    <xdr:to>
      <xdr:col>55</xdr:col>
      <xdr:colOff>114300</xdr:colOff>
      <xdr:row>29</xdr:row>
      <xdr:rowOff>0</xdr:rowOff>
    </xdr:to>
    <xdr:sp>
      <xdr:nvSpPr>
        <xdr:cNvPr id="268" name="Line 507"/>
        <xdr:cNvSpPr>
          <a:spLocks/>
        </xdr:cNvSpPr>
      </xdr:nvSpPr>
      <xdr:spPr>
        <a:xfrm>
          <a:off x="8582025" y="47339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30</xdr:row>
      <xdr:rowOff>0</xdr:rowOff>
    </xdr:from>
    <xdr:to>
      <xdr:col>55</xdr:col>
      <xdr:colOff>133350</xdr:colOff>
      <xdr:row>30</xdr:row>
      <xdr:rowOff>0</xdr:rowOff>
    </xdr:to>
    <xdr:sp>
      <xdr:nvSpPr>
        <xdr:cNvPr id="269" name="Line 508"/>
        <xdr:cNvSpPr>
          <a:spLocks/>
        </xdr:cNvSpPr>
      </xdr:nvSpPr>
      <xdr:spPr>
        <a:xfrm>
          <a:off x="8591550" y="48958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31</xdr:row>
      <xdr:rowOff>0</xdr:rowOff>
    </xdr:from>
    <xdr:to>
      <xdr:col>56</xdr:col>
      <xdr:colOff>0</xdr:colOff>
      <xdr:row>31</xdr:row>
      <xdr:rowOff>0</xdr:rowOff>
    </xdr:to>
    <xdr:sp>
      <xdr:nvSpPr>
        <xdr:cNvPr id="270" name="Line 509"/>
        <xdr:cNvSpPr>
          <a:spLocks/>
        </xdr:cNvSpPr>
      </xdr:nvSpPr>
      <xdr:spPr>
        <a:xfrm>
          <a:off x="8582025" y="50577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32</xdr:row>
      <xdr:rowOff>0</xdr:rowOff>
    </xdr:from>
    <xdr:to>
      <xdr:col>35</xdr:col>
      <xdr:colOff>9525</xdr:colOff>
      <xdr:row>36</xdr:row>
      <xdr:rowOff>0</xdr:rowOff>
    </xdr:to>
    <xdr:sp>
      <xdr:nvSpPr>
        <xdr:cNvPr id="271" name="Line 510"/>
        <xdr:cNvSpPr>
          <a:spLocks/>
        </xdr:cNvSpPr>
      </xdr:nvSpPr>
      <xdr:spPr>
        <a:xfrm>
          <a:off x="5676900" y="5219700"/>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36</xdr:row>
      <xdr:rowOff>0</xdr:rowOff>
    </xdr:from>
    <xdr:to>
      <xdr:col>39</xdr:col>
      <xdr:colOff>152400</xdr:colOff>
      <xdr:row>36</xdr:row>
      <xdr:rowOff>0</xdr:rowOff>
    </xdr:to>
    <xdr:sp>
      <xdr:nvSpPr>
        <xdr:cNvPr id="272" name="Line 511"/>
        <xdr:cNvSpPr>
          <a:spLocks/>
        </xdr:cNvSpPr>
      </xdr:nvSpPr>
      <xdr:spPr>
        <a:xfrm>
          <a:off x="5676900" y="5867400"/>
          <a:ext cx="790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32</xdr:row>
      <xdr:rowOff>0</xdr:rowOff>
    </xdr:from>
    <xdr:to>
      <xdr:col>40</xdr:col>
      <xdr:colOff>0</xdr:colOff>
      <xdr:row>36</xdr:row>
      <xdr:rowOff>0</xdr:rowOff>
    </xdr:to>
    <xdr:sp>
      <xdr:nvSpPr>
        <xdr:cNvPr id="273" name="Line 513"/>
        <xdr:cNvSpPr>
          <a:spLocks/>
        </xdr:cNvSpPr>
      </xdr:nvSpPr>
      <xdr:spPr>
        <a:xfrm flipH="1" flipV="1">
          <a:off x="6000750" y="5219700"/>
          <a:ext cx="47625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31</xdr:row>
      <xdr:rowOff>47625</xdr:rowOff>
    </xdr:from>
    <xdr:to>
      <xdr:col>37</xdr:col>
      <xdr:colOff>9525</xdr:colOff>
      <xdr:row>31</xdr:row>
      <xdr:rowOff>123825</xdr:rowOff>
    </xdr:to>
    <xdr:sp>
      <xdr:nvSpPr>
        <xdr:cNvPr id="274" name="Line 514"/>
        <xdr:cNvSpPr>
          <a:spLocks/>
        </xdr:cNvSpPr>
      </xdr:nvSpPr>
      <xdr:spPr>
        <a:xfrm>
          <a:off x="6000750" y="51054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31</xdr:row>
      <xdr:rowOff>47625</xdr:rowOff>
    </xdr:from>
    <xdr:to>
      <xdr:col>40</xdr:col>
      <xdr:colOff>0</xdr:colOff>
      <xdr:row>31</xdr:row>
      <xdr:rowOff>142875</xdr:rowOff>
    </xdr:to>
    <xdr:sp>
      <xdr:nvSpPr>
        <xdr:cNvPr id="275" name="Line 515"/>
        <xdr:cNvSpPr>
          <a:spLocks/>
        </xdr:cNvSpPr>
      </xdr:nvSpPr>
      <xdr:spPr>
        <a:xfrm>
          <a:off x="6477000" y="5105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36</xdr:row>
      <xdr:rowOff>0</xdr:rowOff>
    </xdr:from>
    <xdr:to>
      <xdr:col>51</xdr:col>
      <xdr:colOff>9525</xdr:colOff>
      <xdr:row>36</xdr:row>
      <xdr:rowOff>0</xdr:rowOff>
    </xdr:to>
    <xdr:sp>
      <xdr:nvSpPr>
        <xdr:cNvPr id="276" name="Line 516"/>
        <xdr:cNvSpPr>
          <a:spLocks/>
        </xdr:cNvSpPr>
      </xdr:nvSpPr>
      <xdr:spPr>
        <a:xfrm>
          <a:off x="7286625" y="5867400"/>
          <a:ext cx="9810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32</xdr:row>
      <xdr:rowOff>0</xdr:rowOff>
    </xdr:from>
    <xdr:to>
      <xdr:col>51</xdr:col>
      <xdr:colOff>0</xdr:colOff>
      <xdr:row>36</xdr:row>
      <xdr:rowOff>0</xdr:rowOff>
    </xdr:to>
    <xdr:sp>
      <xdr:nvSpPr>
        <xdr:cNvPr id="277" name="Line 517"/>
        <xdr:cNvSpPr>
          <a:spLocks/>
        </xdr:cNvSpPr>
      </xdr:nvSpPr>
      <xdr:spPr>
        <a:xfrm>
          <a:off x="8258175" y="5219700"/>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9525</xdr:colOff>
      <xdr:row>34</xdr:row>
      <xdr:rowOff>9525</xdr:rowOff>
    </xdr:from>
    <xdr:to>
      <xdr:col>49</xdr:col>
      <xdr:colOff>9525</xdr:colOff>
      <xdr:row>35</xdr:row>
      <xdr:rowOff>152400</xdr:rowOff>
    </xdr:to>
    <xdr:sp>
      <xdr:nvSpPr>
        <xdr:cNvPr id="278" name="Line 518"/>
        <xdr:cNvSpPr>
          <a:spLocks/>
        </xdr:cNvSpPr>
      </xdr:nvSpPr>
      <xdr:spPr>
        <a:xfrm>
          <a:off x="7943850" y="55530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32</xdr:row>
      <xdr:rowOff>0</xdr:rowOff>
    </xdr:from>
    <xdr:to>
      <xdr:col>49</xdr:col>
      <xdr:colOff>0</xdr:colOff>
      <xdr:row>32</xdr:row>
      <xdr:rowOff>152400</xdr:rowOff>
    </xdr:to>
    <xdr:sp>
      <xdr:nvSpPr>
        <xdr:cNvPr id="279" name="Line 519"/>
        <xdr:cNvSpPr>
          <a:spLocks/>
        </xdr:cNvSpPr>
      </xdr:nvSpPr>
      <xdr:spPr>
        <a:xfrm flipV="1">
          <a:off x="7934325" y="52197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32</xdr:row>
      <xdr:rowOff>85725</xdr:rowOff>
    </xdr:from>
    <xdr:to>
      <xdr:col>40</xdr:col>
      <xdr:colOff>0</xdr:colOff>
      <xdr:row>32</xdr:row>
      <xdr:rowOff>85725</xdr:rowOff>
    </xdr:to>
    <xdr:sp>
      <xdr:nvSpPr>
        <xdr:cNvPr id="280" name="Line 520"/>
        <xdr:cNvSpPr>
          <a:spLocks/>
        </xdr:cNvSpPr>
      </xdr:nvSpPr>
      <xdr:spPr>
        <a:xfrm>
          <a:off x="6315075" y="53054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33</xdr:row>
      <xdr:rowOff>95250</xdr:rowOff>
    </xdr:from>
    <xdr:to>
      <xdr:col>40</xdr:col>
      <xdr:colOff>0</xdr:colOff>
      <xdr:row>33</xdr:row>
      <xdr:rowOff>95250</xdr:rowOff>
    </xdr:to>
    <xdr:sp>
      <xdr:nvSpPr>
        <xdr:cNvPr id="281" name="Line 521"/>
        <xdr:cNvSpPr>
          <a:spLocks/>
        </xdr:cNvSpPr>
      </xdr:nvSpPr>
      <xdr:spPr>
        <a:xfrm>
          <a:off x="6324600" y="54768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34</xdr:row>
      <xdr:rowOff>85725</xdr:rowOff>
    </xdr:from>
    <xdr:to>
      <xdr:col>40</xdr:col>
      <xdr:colOff>0</xdr:colOff>
      <xdr:row>34</xdr:row>
      <xdr:rowOff>85725</xdr:rowOff>
    </xdr:to>
    <xdr:sp>
      <xdr:nvSpPr>
        <xdr:cNvPr id="282" name="Line 522"/>
        <xdr:cNvSpPr>
          <a:spLocks/>
        </xdr:cNvSpPr>
      </xdr:nvSpPr>
      <xdr:spPr>
        <a:xfrm>
          <a:off x="6324600" y="56292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35</xdr:row>
      <xdr:rowOff>76200</xdr:rowOff>
    </xdr:from>
    <xdr:to>
      <xdr:col>40</xdr:col>
      <xdr:colOff>0</xdr:colOff>
      <xdr:row>35</xdr:row>
      <xdr:rowOff>76200</xdr:rowOff>
    </xdr:to>
    <xdr:sp>
      <xdr:nvSpPr>
        <xdr:cNvPr id="283" name="Line 523"/>
        <xdr:cNvSpPr>
          <a:spLocks/>
        </xdr:cNvSpPr>
      </xdr:nvSpPr>
      <xdr:spPr>
        <a:xfrm>
          <a:off x="6315075" y="57816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31</xdr:row>
      <xdr:rowOff>95250</xdr:rowOff>
    </xdr:from>
    <xdr:to>
      <xdr:col>40</xdr:col>
      <xdr:colOff>9525</xdr:colOff>
      <xdr:row>31</xdr:row>
      <xdr:rowOff>95250</xdr:rowOff>
    </xdr:to>
    <xdr:sp>
      <xdr:nvSpPr>
        <xdr:cNvPr id="284" name="Line 525"/>
        <xdr:cNvSpPr>
          <a:spLocks/>
        </xdr:cNvSpPr>
      </xdr:nvSpPr>
      <xdr:spPr>
        <a:xfrm>
          <a:off x="6315075" y="5153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31</xdr:row>
      <xdr:rowOff>95250</xdr:rowOff>
    </xdr:from>
    <xdr:to>
      <xdr:col>37</xdr:col>
      <xdr:colOff>142875</xdr:colOff>
      <xdr:row>31</xdr:row>
      <xdr:rowOff>95250</xdr:rowOff>
    </xdr:to>
    <xdr:sp>
      <xdr:nvSpPr>
        <xdr:cNvPr id="285" name="Line 526"/>
        <xdr:cNvSpPr>
          <a:spLocks/>
        </xdr:cNvSpPr>
      </xdr:nvSpPr>
      <xdr:spPr>
        <a:xfrm flipH="1">
          <a:off x="6000750" y="515302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37</xdr:row>
      <xdr:rowOff>0</xdr:rowOff>
    </xdr:from>
    <xdr:to>
      <xdr:col>35</xdr:col>
      <xdr:colOff>0</xdr:colOff>
      <xdr:row>39</xdr:row>
      <xdr:rowOff>133350</xdr:rowOff>
    </xdr:to>
    <xdr:sp>
      <xdr:nvSpPr>
        <xdr:cNvPr id="286" name="Line 527"/>
        <xdr:cNvSpPr>
          <a:spLocks/>
        </xdr:cNvSpPr>
      </xdr:nvSpPr>
      <xdr:spPr>
        <a:xfrm>
          <a:off x="5667375" y="6029325"/>
          <a:ext cx="0" cy="4572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37</xdr:row>
      <xdr:rowOff>0</xdr:rowOff>
    </xdr:from>
    <xdr:to>
      <xdr:col>40</xdr:col>
      <xdr:colOff>9525</xdr:colOff>
      <xdr:row>37</xdr:row>
      <xdr:rowOff>0</xdr:rowOff>
    </xdr:to>
    <xdr:sp>
      <xdr:nvSpPr>
        <xdr:cNvPr id="287" name="Line 528"/>
        <xdr:cNvSpPr>
          <a:spLocks/>
        </xdr:cNvSpPr>
      </xdr:nvSpPr>
      <xdr:spPr>
        <a:xfrm>
          <a:off x="5667375" y="602932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39</xdr:row>
      <xdr:rowOff>0</xdr:rowOff>
    </xdr:from>
    <xdr:to>
      <xdr:col>40</xdr:col>
      <xdr:colOff>9525</xdr:colOff>
      <xdr:row>39</xdr:row>
      <xdr:rowOff>133350</xdr:rowOff>
    </xdr:to>
    <xdr:sp>
      <xdr:nvSpPr>
        <xdr:cNvPr id="288" name="Line 530"/>
        <xdr:cNvSpPr>
          <a:spLocks/>
        </xdr:cNvSpPr>
      </xdr:nvSpPr>
      <xdr:spPr>
        <a:xfrm flipH="1">
          <a:off x="5667375" y="6353175"/>
          <a:ext cx="81915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37</xdr:row>
      <xdr:rowOff>9525</xdr:rowOff>
    </xdr:from>
    <xdr:to>
      <xdr:col>36</xdr:col>
      <xdr:colOff>0</xdr:colOff>
      <xdr:row>39</xdr:row>
      <xdr:rowOff>104775</xdr:rowOff>
    </xdr:to>
    <xdr:sp>
      <xdr:nvSpPr>
        <xdr:cNvPr id="289" name="Line 531"/>
        <xdr:cNvSpPr>
          <a:spLocks/>
        </xdr:cNvSpPr>
      </xdr:nvSpPr>
      <xdr:spPr>
        <a:xfrm flipV="1">
          <a:off x="5829300" y="60388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37</xdr:row>
      <xdr:rowOff>9525</xdr:rowOff>
    </xdr:from>
    <xdr:to>
      <xdr:col>37</xdr:col>
      <xdr:colOff>0</xdr:colOff>
      <xdr:row>39</xdr:row>
      <xdr:rowOff>66675</xdr:rowOff>
    </xdr:to>
    <xdr:sp>
      <xdr:nvSpPr>
        <xdr:cNvPr id="290" name="Line 532"/>
        <xdr:cNvSpPr>
          <a:spLocks/>
        </xdr:cNvSpPr>
      </xdr:nvSpPr>
      <xdr:spPr>
        <a:xfrm flipV="1">
          <a:off x="5991225" y="60388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37</xdr:row>
      <xdr:rowOff>9525</xdr:rowOff>
    </xdr:from>
    <xdr:to>
      <xdr:col>38</xdr:col>
      <xdr:colOff>0</xdr:colOff>
      <xdr:row>39</xdr:row>
      <xdr:rowOff>57150</xdr:rowOff>
    </xdr:to>
    <xdr:sp>
      <xdr:nvSpPr>
        <xdr:cNvPr id="291" name="Line 533"/>
        <xdr:cNvSpPr>
          <a:spLocks/>
        </xdr:cNvSpPr>
      </xdr:nvSpPr>
      <xdr:spPr>
        <a:xfrm flipV="1">
          <a:off x="6153150" y="60388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37</xdr:row>
      <xdr:rowOff>0</xdr:rowOff>
    </xdr:from>
    <xdr:to>
      <xdr:col>39</xdr:col>
      <xdr:colOff>9525</xdr:colOff>
      <xdr:row>39</xdr:row>
      <xdr:rowOff>28575</xdr:rowOff>
    </xdr:to>
    <xdr:sp>
      <xdr:nvSpPr>
        <xdr:cNvPr id="292" name="Line 534"/>
        <xdr:cNvSpPr>
          <a:spLocks/>
        </xdr:cNvSpPr>
      </xdr:nvSpPr>
      <xdr:spPr>
        <a:xfrm flipV="1">
          <a:off x="6324600" y="60293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36</xdr:row>
      <xdr:rowOff>152400</xdr:rowOff>
    </xdr:from>
    <xdr:to>
      <xdr:col>40</xdr:col>
      <xdr:colOff>0</xdr:colOff>
      <xdr:row>39</xdr:row>
      <xdr:rowOff>0</xdr:rowOff>
    </xdr:to>
    <xdr:sp>
      <xdr:nvSpPr>
        <xdr:cNvPr id="293" name="Line 536"/>
        <xdr:cNvSpPr>
          <a:spLocks/>
        </xdr:cNvSpPr>
      </xdr:nvSpPr>
      <xdr:spPr>
        <a:xfrm flipV="1">
          <a:off x="6477000" y="6019800"/>
          <a:ext cx="0" cy="3333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43</xdr:row>
      <xdr:rowOff>38100</xdr:rowOff>
    </xdr:from>
    <xdr:to>
      <xdr:col>13</xdr:col>
      <xdr:colOff>38100</xdr:colOff>
      <xdr:row>71</xdr:row>
      <xdr:rowOff>38100</xdr:rowOff>
    </xdr:to>
    <xdr:sp>
      <xdr:nvSpPr>
        <xdr:cNvPr id="294" name="Line 537"/>
        <xdr:cNvSpPr>
          <a:spLocks/>
        </xdr:cNvSpPr>
      </xdr:nvSpPr>
      <xdr:spPr>
        <a:xfrm flipH="1">
          <a:off x="1971675" y="7038975"/>
          <a:ext cx="171450" cy="490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72</xdr:row>
      <xdr:rowOff>0</xdr:rowOff>
    </xdr:from>
    <xdr:to>
      <xdr:col>23</xdr:col>
      <xdr:colOff>0</xdr:colOff>
      <xdr:row>72</xdr:row>
      <xdr:rowOff>0</xdr:rowOff>
    </xdr:to>
    <xdr:sp>
      <xdr:nvSpPr>
        <xdr:cNvPr id="295" name="Line 539"/>
        <xdr:cNvSpPr>
          <a:spLocks/>
        </xdr:cNvSpPr>
      </xdr:nvSpPr>
      <xdr:spPr>
        <a:xfrm>
          <a:off x="2600325" y="120681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72</xdr:row>
      <xdr:rowOff>9525</xdr:rowOff>
    </xdr:from>
    <xdr:to>
      <xdr:col>16</xdr:col>
      <xdr:colOff>0</xdr:colOff>
      <xdr:row>76</xdr:row>
      <xdr:rowOff>0</xdr:rowOff>
    </xdr:to>
    <xdr:sp>
      <xdr:nvSpPr>
        <xdr:cNvPr id="296" name="Line 540"/>
        <xdr:cNvSpPr>
          <a:spLocks/>
        </xdr:cNvSpPr>
      </xdr:nvSpPr>
      <xdr:spPr>
        <a:xfrm>
          <a:off x="2590800" y="120777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72</xdr:row>
      <xdr:rowOff>9525</xdr:rowOff>
    </xdr:from>
    <xdr:to>
      <xdr:col>11</xdr:col>
      <xdr:colOff>152400</xdr:colOff>
      <xdr:row>75</xdr:row>
      <xdr:rowOff>152400</xdr:rowOff>
    </xdr:to>
    <xdr:sp>
      <xdr:nvSpPr>
        <xdr:cNvPr id="297" name="Line 541"/>
        <xdr:cNvSpPr>
          <a:spLocks/>
        </xdr:cNvSpPr>
      </xdr:nvSpPr>
      <xdr:spPr>
        <a:xfrm>
          <a:off x="1933575" y="1207770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76</xdr:row>
      <xdr:rowOff>0</xdr:rowOff>
    </xdr:from>
    <xdr:to>
      <xdr:col>16</xdr:col>
      <xdr:colOff>0</xdr:colOff>
      <xdr:row>76</xdr:row>
      <xdr:rowOff>0</xdr:rowOff>
    </xdr:to>
    <xdr:sp>
      <xdr:nvSpPr>
        <xdr:cNvPr id="298" name="Line 542"/>
        <xdr:cNvSpPr>
          <a:spLocks/>
        </xdr:cNvSpPr>
      </xdr:nvSpPr>
      <xdr:spPr>
        <a:xfrm>
          <a:off x="1933575" y="127158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43</xdr:row>
      <xdr:rowOff>38100</xdr:rowOff>
    </xdr:from>
    <xdr:to>
      <xdr:col>15</xdr:col>
      <xdr:colOff>104775</xdr:colOff>
      <xdr:row>68</xdr:row>
      <xdr:rowOff>123825</xdr:rowOff>
    </xdr:to>
    <xdr:sp>
      <xdr:nvSpPr>
        <xdr:cNvPr id="299" name="Line 543"/>
        <xdr:cNvSpPr>
          <a:spLocks/>
        </xdr:cNvSpPr>
      </xdr:nvSpPr>
      <xdr:spPr>
        <a:xfrm>
          <a:off x="2381250" y="7038975"/>
          <a:ext cx="152400" cy="450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43</xdr:row>
      <xdr:rowOff>47625</xdr:rowOff>
    </xdr:from>
    <xdr:to>
      <xdr:col>14</xdr:col>
      <xdr:colOff>114300</xdr:colOff>
      <xdr:row>43</xdr:row>
      <xdr:rowOff>47625</xdr:rowOff>
    </xdr:to>
    <xdr:sp>
      <xdr:nvSpPr>
        <xdr:cNvPr id="300" name="Line 544"/>
        <xdr:cNvSpPr>
          <a:spLocks/>
        </xdr:cNvSpPr>
      </xdr:nvSpPr>
      <xdr:spPr>
        <a:xfrm>
          <a:off x="2133600" y="70485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71</xdr:row>
      <xdr:rowOff>57150</xdr:rowOff>
    </xdr:from>
    <xdr:to>
      <xdr:col>13</xdr:col>
      <xdr:colOff>133350</xdr:colOff>
      <xdr:row>71</xdr:row>
      <xdr:rowOff>57150</xdr:rowOff>
    </xdr:to>
    <xdr:sp>
      <xdr:nvSpPr>
        <xdr:cNvPr id="301" name="Line 546"/>
        <xdr:cNvSpPr>
          <a:spLocks/>
        </xdr:cNvSpPr>
      </xdr:nvSpPr>
      <xdr:spPr>
        <a:xfrm>
          <a:off x="1133475" y="119634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66</xdr:row>
      <xdr:rowOff>123825</xdr:rowOff>
    </xdr:from>
    <xdr:to>
      <xdr:col>16</xdr:col>
      <xdr:colOff>9525</xdr:colOff>
      <xdr:row>70</xdr:row>
      <xdr:rowOff>152400</xdr:rowOff>
    </xdr:to>
    <xdr:sp>
      <xdr:nvSpPr>
        <xdr:cNvPr id="302" name="Arc 547"/>
        <xdr:cNvSpPr>
          <a:spLocks/>
        </xdr:cNvSpPr>
      </xdr:nvSpPr>
      <xdr:spPr>
        <a:xfrm rot="3341067">
          <a:off x="1752600" y="11201400"/>
          <a:ext cx="847725" cy="695325"/>
        </a:xfrm>
        <a:prstGeom prst="arc">
          <a:avLst>
            <a:gd name="adj1" fmla="val -17987370"/>
            <a:gd name="adj2" fmla="val 10414939"/>
            <a:gd name="adj3" fmla="val 3582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68</xdr:row>
      <xdr:rowOff>57150</xdr:rowOff>
    </xdr:from>
    <xdr:to>
      <xdr:col>8</xdr:col>
      <xdr:colOff>0</xdr:colOff>
      <xdr:row>68</xdr:row>
      <xdr:rowOff>57150</xdr:rowOff>
    </xdr:to>
    <xdr:sp>
      <xdr:nvSpPr>
        <xdr:cNvPr id="303" name="Line 548"/>
        <xdr:cNvSpPr>
          <a:spLocks/>
        </xdr:cNvSpPr>
      </xdr:nvSpPr>
      <xdr:spPr>
        <a:xfrm>
          <a:off x="1295400" y="1147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68</xdr:row>
      <xdr:rowOff>152400</xdr:rowOff>
    </xdr:from>
    <xdr:to>
      <xdr:col>9</xdr:col>
      <xdr:colOff>0</xdr:colOff>
      <xdr:row>69</xdr:row>
      <xdr:rowOff>85725</xdr:rowOff>
    </xdr:to>
    <xdr:sp>
      <xdr:nvSpPr>
        <xdr:cNvPr id="304" name="Line 549"/>
        <xdr:cNvSpPr>
          <a:spLocks/>
        </xdr:cNvSpPr>
      </xdr:nvSpPr>
      <xdr:spPr>
        <a:xfrm flipV="1">
          <a:off x="1457325" y="115728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67</xdr:row>
      <xdr:rowOff>38100</xdr:rowOff>
    </xdr:from>
    <xdr:to>
      <xdr:col>11</xdr:col>
      <xdr:colOff>104775</xdr:colOff>
      <xdr:row>68</xdr:row>
      <xdr:rowOff>47625</xdr:rowOff>
    </xdr:to>
    <xdr:sp>
      <xdr:nvSpPr>
        <xdr:cNvPr id="305" name="Line 550"/>
        <xdr:cNvSpPr>
          <a:spLocks/>
        </xdr:cNvSpPr>
      </xdr:nvSpPr>
      <xdr:spPr>
        <a:xfrm flipV="1">
          <a:off x="942975" y="11296650"/>
          <a:ext cx="9429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68</xdr:row>
      <xdr:rowOff>38100</xdr:rowOff>
    </xdr:from>
    <xdr:to>
      <xdr:col>21</xdr:col>
      <xdr:colOff>133350</xdr:colOff>
      <xdr:row>69</xdr:row>
      <xdr:rowOff>66675</xdr:rowOff>
    </xdr:to>
    <xdr:sp>
      <xdr:nvSpPr>
        <xdr:cNvPr id="306" name="Line 551"/>
        <xdr:cNvSpPr>
          <a:spLocks/>
        </xdr:cNvSpPr>
      </xdr:nvSpPr>
      <xdr:spPr>
        <a:xfrm>
          <a:off x="2000250" y="11458575"/>
          <a:ext cx="15335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69</xdr:row>
      <xdr:rowOff>66675</xdr:rowOff>
    </xdr:from>
    <xdr:to>
      <xdr:col>21</xdr:col>
      <xdr:colOff>133350</xdr:colOff>
      <xdr:row>69</xdr:row>
      <xdr:rowOff>142875</xdr:rowOff>
    </xdr:to>
    <xdr:sp>
      <xdr:nvSpPr>
        <xdr:cNvPr id="307" name="Line 552"/>
        <xdr:cNvSpPr>
          <a:spLocks/>
        </xdr:cNvSpPr>
      </xdr:nvSpPr>
      <xdr:spPr>
        <a:xfrm>
          <a:off x="3533775" y="1164907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47625</xdr:colOff>
      <xdr:row>3</xdr:row>
      <xdr:rowOff>76200</xdr:rowOff>
    </xdr:from>
    <xdr:to>
      <xdr:col>58</xdr:col>
      <xdr:colOff>85725</xdr:colOff>
      <xdr:row>3</xdr:row>
      <xdr:rowOff>123825</xdr:rowOff>
    </xdr:to>
    <xdr:sp>
      <xdr:nvSpPr>
        <xdr:cNvPr id="308" name="Arc 553"/>
        <xdr:cNvSpPr>
          <a:spLocks/>
        </xdr:cNvSpPr>
      </xdr:nvSpPr>
      <xdr:spPr>
        <a:xfrm>
          <a:off x="9439275" y="5619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69</xdr:row>
      <xdr:rowOff>85725</xdr:rowOff>
    </xdr:from>
    <xdr:to>
      <xdr:col>21</xdr:col>
      <xdr:colOff>123825</xdr:colOff>
      <xdr:row>69</xdr:row>
      <xdr:rowOff>133350</xdr:rowOff>
    </xdr:to>
    <xdr:sp>
      <xdr:nvSpPr>
        <xdr:cNvPr id="309" name="Arc 554"/>
        <xdr:cNvSpPr>
          <a:spLocks/>
        </xdr:cNvSpPr>
      </xdr:nvSpPr>
      <xdr:spPr>
        <a:xfrm>
          <a:off x="3486150" y="116681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69</xdr:row>
      <xdr:rowOff>57150</xdr:rowOff>
    </xdr:from>
    <xdr:to>
      <xdr:col>20</xdr:col>
      <xdr:colOff>114300</xdr:colOff>
      <xdr:row>69</xdr:row>
      <xdr:rowOff>104775</xdr:rowOff>
    </xdr:to>
    <xdr:sp>
      <xdr:nvSpPr>
        <xdr:cNvPr id="310" name="Arc 555"/>
        <xdr:cNvSpPr>
          <a:spLocks/>
        </xdr:cNvSpPr>
      </xdr:nvSpPr>
      <xdr:spPr>
        <a:xfrm>
          <a:off x="3314700" y="116395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69</xdr:row>
      <xdr:rowOff>38100</xdr:rowOff>
    </xdr:from>
    <xdr:to>
      <xdr:col>19</xdr:col>
      <xdr:colOff>57150</xdr:colOff>
      <xdr:row>69</xdr:row>
      <xdr:rowOff>85725</xdr:rowOff>
    </xdr:to>
    <xdr:sp>
      <xdr:nvSpPr>
        <xdr:cNvPr id="311" name="Arc 556"/>
        <xdr:cNvSpPr>
          <a:spLocks/>
        </xdr:cNvSpPr>
      </xdr:nvSpPr>
      <xdr:spPr>
        <a:xfrm>
          <a:off x="3095625" y="116205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69</xdr:row>
      <xdr:rowOff>9525</xdr:rowOff>
    </xdr:from>
    <xdr:to>
      <xdr:col>17</xdr:col>
      <xdr:colOff>142875</xdr:colOff>
      <xdr:row>69</xdr:row>
      <xdr:rowOff>57150</xdr:rowOff>
    </xdr:to>
    <xdr:sp>
      <xdr:nvSpPr>
        <xdr:cNvPr id="312" name="Arc 557"/>
        <xdr:cNvSpPr>
          <a:spLocks/>
        </xdr:cNvSpPr>
      </xdr:nvSpPr>
      <xdr:spPr>
        <a:xfrm>
          <a:off x="2857500" y="115919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68</xdr:row>
      <xdr:rowOff>142875</xdr:rowOff>
    </xdr:from>
    <xdr:to>
      <xdr:col>16</xdr:col>
      <xdr:colOff>133350</xdr:colOff>
      <xdr:row>69</xdr:row>
      <xdr:rowOff>28575</xdr:rowOff>
    </xdr:to>
    <xdr:sp>
      <xdr:nvSpPr>
        <xdr:cNvPr id="313" name="Arc 558"/>
        <xdr:cNvSpPr>
          <a:spLocks/>
        </xdr:cNvSpPr>
      </xdr:nvSpPr>
      <xdr:spPr>
        <a:xfrm>
          <a:off x="2686050" y="115633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67</xdr:row>
      <xdr:rowOff>66675</xdr:rowOff>
    </xdr:from>
    <xdr:to>
      <xdr:col>12</xdr:col>
      <xdr:colOff>104775</xdr:colOff>
      <xdr:row>67</xdr:row>
      <xdr:rowOff>133350</xdr:rowOff>
    </xdr:to>
    <xdr:sp>
      <xdr:nvSpPr>
        <xdr:cNvPr id="314" name="Arc 559"/>
        <xdr:cNvSpPr>
          <a:spLocks/>
        </xdr:cNvSpPr>
      </xdr:nvSpPr>
      <xdr:spPr>
        <a:xfrm>
          <a:off x="2009775" y="11325225"/>
          <a:ext cx="38100" cy="6667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63</xdr:row>
      <xdr:rowOff>114300</xdr:rowOff>
    </xdr:from>
    <xdr:to>
      <xdr:col>12</xdr:col>
      <xdr:colOff>133350</xdr:colOff>
      <xdr:row>63</xdr:row>
      <xdr:rowOff>161925</xdr:rowOff>
    </xdr:to>
    <xdr:sp>
      <xdr:nvSpPr>
        <xdr:cNvPr id="315" name="Arc 562"/>
        <xdr:cNvSpPr>
          <a:spLocks/>
        </xdr:cNvSpPr>
      </xdr:nvSpPr>
      <xdr:spPr>
        <a:xfrm>
          <a:off x="2038350" y="106394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59</xdr:row>
      <xdr:rowOff>123825</xdr:rowOff>
    </xdr:from>
    <xdr:to>
      <xdr:col>12</xdr:col>
      <xdr:colOff>142875</xdr:colOff>
      <xdr:row>59</xdr:row>
      <xdr:rowOff>171450</xdr:rowOff>
    </xdr:to>
    <xdr:sp>
      <xdr:nvSpPr>
        <xdr:cNvPr id="316" name="Arc 564"/>
        <xdr:cNvSpPr>
          <a:spLocks/>
        </xdr:cNvSpPr>
      </xdr:nvSpPr>
      <xdr:spPr>
        <a:xfrm>
          <a:off x="2047875" y="99250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55</xdr:row>
      <xdr:rowOff>104775</xdr:rowOff>
    </xdr:from>
    <xdr:to>
      <xdr:col>13</xdr:col>
      <xdr:colOff>19050</xdr:colOff>
      <xdr:row>55</xdr:row>
      <xdr:rowOff>171450</xdr:rowOff>
    </xdr:to>
    <xdr:sp>
      <xdr:nvSpPr>
        <xdr:cNvPr id="317" name="Arc 566"/>
        <xdr:cNvSpPr>
          <a:spLocks/>
        </xdr:cNvSpPr>
      </xdr:nvSpPr>
      <xdr:spPr>
        <a:xfrm>
          <a:off x="2085975" y="9201150"/>
          <a:ext cx="38100" cy="6667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51</xdr:row>
      <xdr:rowOff>104775</xdr:rowOff>
    </xdr:from>
    <xdr:to>
      <xdr:col>13</xdr:col>
      <xdr:colOff>38100</xdr:colOff>
      <xdr:row>51</xdr:row>
      <xdr:rowOff>152400</xdr:rowOff>
    </xdr:to>
    <xdr:sp>
      <xdr:nvSpPr>
        <xdr:cNvPr id="318" name="Arc 568"/>
        <xdr:cNvSpPr>
          <a:spLocks/>
        </xdr:cNvSpPr>
      </xdr:nvSpPr>
      <xdr:spPr>
        <a:xfrm>
          <a:off x="2105025" y="8477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47</xdr:row>
      <xdr:rowOff>104775</xdr:rowOff>
    </xdr:from>
    <xdr:to>
      <xdr:col>13</xdr:col>
      <xdr:colOff>57150</xdr:colOff>
      <xdr:row>47</xdr:row>
      <xdr:rowOff>161925</xdr:rowOff>
    </xdr:to>
    <xdr:sp>
      <xdr:nvSpPr>
        <xdr:cNvPr id="319" name="Arc 569"/>
        <xdr:cNvSpPr>
          <a:spLocks/>
        </xdr:cNvSpPr>
      </xdr:nvSpPr>
      <xdr:spPr>
        <a:xfrm>
          <a:off x="2124075" y="7791450"/>
          <a:ext cx="38100" cy="5715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43</xdr:row>
      <xdr:rowOff>57150</xdr:rowOff>
    </xdr:from>
    <xdr:to>
      <xdr:col>13</xdr:col>
      <xdr:colOff>76200</xdr:colOff>
      <xdr:row>43</xdr:row>
      <xdr:rowOff>104775</xdr:rowOff>
    </xdr:to>
    <xdr:sp>
      <xdr:nvSpPr>
        <xdr:cNvPr id="320" name="Arc 571"/>
        <xdr:cNvSpPr>
          <a:spLocks/>
        </xdr:cNvSpPr>
      </xdr:nvSpPr>
      <xdr:spPr>
        <a:xfrm>
          <a:off x="2143125" y="70580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43</xdr:row>
      <xdr:rowOff>9525</xdr:rowOff>
    </xdr:from>
    <xdr:to>
      <xdr:col>15</xdr:col>
      <xdr:colOff>0</xdr:colOff>
      <xdr:row>43</xdr:row>
      <xdr:rowOff>57150</xdr:rowOff>
    </xdr:to>
    <xdr:sp>
      <xdr:nvSpPr>
        <xdr:cNvPr id="321" name="Arc 572"/>
        <xdr:cNvSpPr>
          <a:spLocks/>
        </xdr:cNvSpPr>
      </xdr:nvSpPr>
      <xdr:spPr>
        <a:xfrm>
          <a:off x="2390775" y="70104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43</xdr:row>
      <xdr:rowOff>57150</xdr:rowOff>
    </xdr:from>
    <xdr:to>
      <xdr:col>14</xdr:col>
      <xdr:colOff>114300</xdr:colOff>
      <xdr:row>43</xdr:row>
      <xdr:rowOff>104775</xdr:rowOff>
    </xdr:to>
    <xdr:sp>
      <xdr:nvSpPr>
        <xdr:cNvPr id="322" name="Arc 574"/>
        <xdr:cNvSpPr>
          <a:spLocks/>
        </xdr:cNvSpPr>
      </xdr:nvSpPr>
      <xdr:spPr>
        <a:xfrm>
          <a:off x="2343150" y="70580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45</xdr:row>
      <xdr:rowOff>114300</xdr:rowOff>
    </xdr:from>
    <xdr:to>
      <xdr:col>14</xdr:col>
      <xdr:colOff>85725</xdr:colOff>
      <xdr:row>46</xdr:row>
      <xdr:rowOff>0</xdr:rowOff>
    </xdr:to>
    <xdr:sp>
      <xdr:nvSpPr>
        <xdr:cNvPr id="323" name="Arc 575"/>
        <xdr:cNvSpPr>
          <a:spLocks/>
        </xdr:cNvSpPr>
      </xdr:nvSpPr>
      <xdr:spPr>
        <a:xfrm>
          <a:off x="2314575" y="7439025"/>
          <a:ext cx="38100" cy="6667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47</xdr:row>
      <xdr:rowOff>123825</xdr:rowOff>
    </xdr:from>
    <xdr:to>
      <xdr:col>15</xdr:col>
      <xdr:colOff>0</xdr:colOff>
      <xdr:row>47</xdr:row>
      <xdr:rowOff>161925</xdr:rowOff>
    </xdr:to>
    <xdr:sp>
      <xdr:nvSpPr>
        <xdr:cNvPr id="324" name="Arc 577"/>
        <xdr:cNvSpPr>
          <a:spLocks/>
        </xdr:cNvSpPr>
      </xdr:nvSpPr>
      <xdr:spPr>
        <a:xfrm>
          <a:off x="2390775" y="7810500"/>
          <a:ext cx="38100" cy="38100"/>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49</xdr:row>
      <xdr:rowOff>142875</xdr:rowOff>
    </xdr:from>
    <xdr:to>
      <xdr:col>14</xdr:col>
      <xdr:colOff>123825</xdr:colOff>
      <xdr:row>50</xdr:row>
      <xdr:rowOff>9525</xdr:rowOff>
    </xdr:to>
    <xdr:sp>
      <xdr:nvSpPr>
        <xdr:cNvPr id="325" name="Arc 579"/>
        <xdr:cNvSpPr>
          <a:spLocks/>
        </xdr:cNvSpPr>
      </xdr:nvSpPr>
      <xdr:spPr>
        <a:xfrm>
          <a:off x="2352675" y="81534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51</xdr:row>
      <xdr:rowOff>123825</xdr:rowOff>
    </xdr:from>
    <xdr:to>
      <xdr:col>15</xdr:col>
      <xdr:colOff>0</xdr:colOff>
      <xdr:row>51</xdr:row>
      <xdr:rowOff>171450</xdr:rowOff>
    </xdr:to>
    <xdr:sp>
      <xdr:nvSpPr>
        <xdr:cNvPr id="326" name="Arc 581"/>
        <xdr:cNvSpPr>
          <a:spLocks/>
        </xdr:cNvSpPr>
      </xdr:nvSpPr>
      <xdr:spPr>
        <a:xfrm>
          <a:off x="2390775" y="849630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53</xdr:row>
      <xdr:rowOff>171450</xdr:rowOff>
    </xdr:from>
    <xdr:to>
      <xdr:col>14</xdr:col>
      <xdr:colOff>152400</xdr:colOff>
      <xdr:row>54</xdr:row>
      <xdr:rowOff>38100</xdr:rowOff>
    </xdr:to>
    <xdr:sp>
      <xdr:nvSpPr>
        <xdr:cNvPr id="327" name="Arc 583"/>
        <xdr:cNvSpPr>
          <a:spLocks/>
        </xdr:cNvSpPr>
      </xdr:nvSpPr>
      <xdr:spPr>
        <a:xfrm>
          <a:off x="2381250" y="89058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55</xdr:row>
      <xdr:rowOff>152400</xdr:rowOff>
    </xdr:from>
    <xdr:to>
      <xdr:col>15</xdr:col>
      <xdr:colOff>28575</xdr:colOff>
      <xdr:row>56</xdr:row>
      <xdr:rowOff>19050</xdr:rowOff>
    </xdr:to>
    <xdr:sp>
      <xdr:nvSpPr>
        <xdr:cNvPr id="328" name="Arc 585"/>
        <xdr:cNvSpPr>
          <a:spLocks/>
        </xdr:cNvSpPr>
      </xdr:nvSpPr>
      <xdr:spPr>
        <a:xfrm>
          <a:off x="2419350" y="92487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57</xdr:row>
      <xdr:rowOff>114300</xdr:rowOff>
    </xdr:from>
    <xdr:to>
      <xdr:col>15</xdr:col>
      <xdr:colOff>19050</xdr:colOff>
      <xdr:row>58</xdr:row>
      <xdr:rowOff>0</xdr:rowOff>
    </xdr:to>
    <xdr:sp>
      <xdr:nvSpPr>
        <xdr:cNvPr id="329" name="Arc 587"/>
        <xdr:cNvSpPr>
          <a:spLocks/>
        </xdr:cNvSpPr>
      </xdr:nvSpPr>
      <xdr:spPr>
        <a:xfrm>
          <a:off x="2409825" y="95726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61</xdr:row>
      <xdr:rowOff>114300</xdr:rowOff>
    </xdr:from>
    <xdr:to>
      <xdr:col>15</xdr:col>
      <xdr:colOff>47625</xdr:colOff>
      <xdr:row>61</xdr:row>
      <xdr:rowOff>161925</xdr:rowOff>
    </xdr:to>
    <xdr:sp>
      <xdr:nvSpPr>
        <xdr:cNvPr id="330" name="Arc 591"/>
        <xdr:cNvSpPr>
          <a:spLocks/>
        </xdr:cNvSpPr>
      </xdr:nvSpPr>
      <xdr:spPr>
        <a:xfrm>
          <a:off x="2438400" y="102774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63</xdr:row>
      <xdr:rowOff>123825</xdr:rowOff>
    </xdr:from>
    <xdr:to>
      <xdr:col>15</xdr:col>
      <xdr:colOff>66675</xdr:colOff>
      <xdr:row>63</xdr:row>
      <xdr:rowOff>171450</xdr:rowOff>
    </xdr:to>
    <xdr:sp>
      <xdr:nvSpPr>
        <xdr:cNvPr id="331" name="Arc 593"/>
        <xdr:cNvSpPr>
          <a:spLocks/>
        </xdr:cNvSpPr>
      </xdr:nvSpPr>
      <xdr:spPr>
        <a:xfrm>
          <a:off x="2457450" y="106489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65</xdr:row>
      <xdr:rowOff>133350</xdr:rowOff>
    </xdr:from>
    <xdr:to>
      <xdr:col>15</xdr:col>
      <xdr:colOff>47625</xdr:colOff>
      <xdr:row>65</xdr:row>
      <xdr:rowOff>180975</xdr:rowOff>
    </xdr:to>
    <xdr:sp>
      <xdr:nvSpPr>
        <xdr:cNvPr id="332" name="Arc 595"/>
        <xdr:cNvSpPr>
          <a:spLocks/>
        </xdr:cNvSpPr>
      </xdr:nvSpPr>
      <xdr:spPr>
        <a:xfrm>
          <a:off x="2438400" y="110204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67</xdr:row>
      <xdr:rowOff>76200</xdr:rowOff>
    </xdr:from>
    <xdr:to>
      <xdr:col>15</xdr:col>
      <xdr:colOff>85725</xdr:colOff>
      <xdr:row>67</xdr:row>
      <xdr:rowOff>142875</xdr:rowOff>
    </xdr:to>
    <xdr:sp>
      <xdr:nvSpPr>
        <xdr:cNvPr id="333" name="Arc 597"/>
        <xdr:cNvSpPr>
          <a:spLocks/>
        </xdr:cNvSpPr>
      </xdr:nvSpPr>
      <xdr:spPr>
        <a:xfrm>
          <a:off x="2476500" y="11334750"/>
          <a:ext cx="38100" cy="6667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68</xdr:row>
      <xdr:rowOff>114300</xdr:rowOff>
    </xdr:from>
    <xdr:to>
      <xdr:col>15</xdr:col>
      <xdr:colOff>95250</xdr:colOff>
      <xdr:row>69</xdr:row>
      <xdr:rowOff>0</xdr:rowOff>
    </xdr:to>
    <xdr:sp>
      <xdr:nvSpPr>
        <xdr:cNvPr id="334" name="Arc 599"/>
        <xdr:cNvSpPr>
          <a:spLocks/>
        </xdr:cNvSpPr>
      </xdr:nvSpPr>
      <xdr:spPr>
        <a:xfrm>
          <a:off x="2486025" y="115347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71</xdr:row>
      <xdr:rowOff>0</xdr:rowOff>
    </xdr:from>
    <xdr:to>
      <xdr:col>7</xdr:col>
      <xdr:colOff>152400</xdr:colOff>
      <xdr:row>71</xdr:row>
      <xdr:rowOff>47625</xdr:rowOff>
    </xdr:to>
    <xdr:sp>
      <xdr:nvSpPr>
        <xdr:cNvPr id="335" name="Arc 607"/>
        <xdr:cNvSpPr>
          <a:spLocks/>
        </xdr:cNvSpPr>
      </xdr:nvSpPr>
      <xdr:spPr>
        <a:xfrm>
          <a:off x="1247775"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71</xdr:row>
      <xdr:rowOff>0</xdr:rowOff>
    </xdr:from>
    <xdr:to>
      <xdr:col>8</xdr:col>
      <xdr:colOff>152400</xdr:colOff>
      <xdr:row>71</xdr:row>
      <xdr:rowOff>47625</xdr:rowOff>
    </xdr:to>
    <xdr:sp>
      <xdr:nvSpPr>
        <xdr:cNvPr id="336" name="Arc 608"/>
        <xdr:cNvSpPr>
          <a:spLocks/>
        </xdr:cNvSpPr>
      </xdr:nvSpPr>
      <xdr:spPr>
        <a:xfrm>
          <a:off x="1409700"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71</xdr:row>
      <xdr:rowOff>0</xdr:rowOff>
    </xdr:from>
    <xdr:to>
      <xdr:col>9</xdr:col>
      <xdr:colOff>152400</xdr:colOff>
      <xdr:row>71</xdr:row>
      <xdr:rowOff>47625</xdr:rowOff>
    </xdr:to>
    <xdr:sp>
      <xdr:nvSpPr>
        <xdr:cNvPr id="337" name="Arc 609"/>
        <xdr:cNvSpPr>
          <a:spLocks/>
        </xdr:cNvSpPr>
      </xdr:nvSpPr>
      <xdr:spPr>
        <a:xfrm>
          <a:off x="1571625"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71</xdr:row>
      <xdr:rowOff>0</xdr:rowOff>
    </xdr:from>
    <xdr:to>
      <xdr:col>10</xdr:col>
      <xdr:colOff>152400</xdr:colOff>
      <xdr:row>71</xdr:row>
      <xdr:rowOff>47625</xdr:rowOff>
    </xdr:to>
    <xdr:sp>
      <xdr:nvSpPr>
        <xdr:cNvPr id="338" name="Arc 610"/>
        <xdr:cNvSpPr>
          <a:spLocks/>
        </xdr:cNvSpPr>
      </xdr:nvSpPr>
      <xdr:spPr>
        <a:xfrm>
          <a:off x="1733550"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71</xdr:row>
      <xdr:rowOff>0</xdr:rowOff>
    </xdr:from>
    <xdr:to>
      <xdr:col>11</xdr:col>
      <xdr:colOff>152400</xdr:colOff>
      <xdr:row>71</xdr:row>
      <xdr:rowOff>47625</xdr:rowOff>
    </xdr:to>
    <xdr:sp>
      <xdr:nvSpPr>
        <xdr:cNvPr id="339" name="Arc 611"/>
        <xdr:cNvSpPr>
          <a:spLocks/>
        </xdr:cNvSpPr>
      </xdr:nvSpPr>
      <xdr:spPr>
        <a:xfrm>
          <a:off x="1895475"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71</xdr:row>
      <xdr:rowOff>0</xdr:rowOff>
    </xdr:from>
    <xdr:to>
      <xdr:col>12</xdr:col>
      <xdr:colOff>133350</xdr:colOff>
      <xdr:row>71</xdr:row>
      <xdr:rowOff>47625</xdr:rowOff>
    </xdr:to>
    <xdr:sp>
      <xdr:nvSpPr>
        <xdr:cNvPr id="340" name="Arc 612"/>
        <xdr:cNvSpPr>
          <a:spLocks/>
        </xdr:cNvSpPr>
      </xdr:nvSpPr>
      <xdr:spPr>
        <a:xfrm>
          <a:off x="2038350" y="11906250"/>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76</xdr:row>
      <xdr:rowOff>0</xdr:rowOff>
    </xdr:from>
    <xdr:to>
      <xdr:col>17</xdr:col>
      <xdr:colOff>47625</xdr:colOff>
      <xdr:row>76</xdr:row>
      <xdr:rowOff>0</xdr:rowOff>
    </xdr:to>
    <xdr:sp>
      <xdr:nvSpPr>
        <xdr:cNvPr id="341" name="Line 617"/>
        <xdr:cNvSpPr>
          <a:spLocks/>
        </xdr:cNvSpPr>
      </xdr:nvSpPr>
      <xdr:spPr>
        <a:xfrm>
          <a:off x="2676525" y="127158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69</xdr:row>
      <xdr:rowOff>0</xdr:rowOff>
    </xdr:from>
    <xdr:to>
      <xdr:col>24</xdr:col>
      <xdr:colOff>57150</xdr:colOff>
      <xdr:row>69</xdr:row>
      <xdr:rowOff>0</xdr:rowOff>
    </xdr:to>
    <xdr:sp>
      <xdr:nvSpPr>
        <xdr:cNvPr id="342" name="Line 618"/>
        <xdr:cNvSpPr>
          <a:spLocks/>
        </xdr:cNvSpPr>
      </xdr:nvSpPr>
      <xdr:spPr>
        <a:xfrm>
          <a:off x="3819525" y="115824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71</xdr:row>
      <xdr:rowOff>19050</xdr:rowOff>
    </xdr:from>
    <xdr:to>
      <xdr:col>24</xdr:col>
      <xdr:colOff>0</xdr:colOff>
      <xdr:row>72</xdr:row>
      <xdr:rowOff>9525</xdr:rowOff>
    </xdr:to>
    <xdr:sp>
      <xdr:nvSpPr>
        <xdr:cNvPr id="343" name="Line 619"/>
        <xdr:cNvSpPr>
          <a:spLocks/>
        </xdr:cNvSpPr>
      </xdr:nvSpPr>
      <xdr:spPr>
        <a:xfrm>
          <a:off x="3886200" y="119253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68</xdr:row>
      <xdr:rowOff>152400</xdr:rowOff>
    </xdr:from>
    <xdr:to>
      <xdr:col>24</xdr:col>
      <xdr:colOff>0</xdr:colOff>
      <xdr:row>69</xdr:row>
      <xdr:rowOff>152400</xdr:rowOff>
    </xdr:to>
    <xdr:sp>
      <xdr:nvSpPr>
        <xdr:cNvPr id="344" name="Line 620"/>
        <xdr:cNvSpPr>
          <a:spLocks/>
        </xdr:cNvSpPr>
      </xdr:nvSpPr>
      <xdr:spPr>
        <a:xfrm flipV="1">
          <a:off x="3886200" y="115728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19050</xdr:rowOff>
    </xdr:from>
    <xdr:to>
      <xdr:col>3</xdr:col>
      <xdr:colOff>0</xdr:colOff>
      <xdr:row>71</xdr:row>
      <xdr:rowOff>152400</xdr:rowOff>
    </xdr:to>
    <xdr:sp>
      <xdr:nvSpPr>
        <xdr:cNvPr id="345" name="Line 622"/>
        <xdr:cNvSpPr>
          <a:spLocks/>
        </xdr:cNvSpPr>
      </xdr:nvSpPr>
      <xdr:spPr>
        <a:xfrm>
          <a:off x="485775" y="119253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69</xdr:row>
      <xdr:rowOff>0</xdr:rowOff>
    </xdr:from>
    <xdr:to>
      <xdr:col>5</xdr:col>
      <xdr:colOff>104775</xdr:colOff>
      <xdr:row>69</xdr:row>
      <xdr:rowOff>0</xdr:rowOff>
    </xdr:to>
    <xdr:sp>
      <xdr:nvSpPr>
        <xdr:cNvPr id="346" name="Line 623"/>
        <xdr:cNvSpPr>
          <a:spLocks/>
        </xdr:cNvSpPr>
      </xdr:nvSpPr>
      <xdr:spPr>
        <a:xfrm>
          <a:off x="342900" y="11582400"/>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69</xdr:row>
      <xdr:rowOff>0</xdr:rowOff>
    </xdr:from>
    <xdr:to>
      <xdr:col>3</xdr:col>
      <xdr:colOff>0</xdr:colOff>
      <xdr:row>70</xdr:row>
      <xdr:rowOff>9525</xdr:rowOff>
    </xdr:to>
    <xdr:sp>
      <xdr:nvSpPr>
        <xdr:cNvPr id="347" name="Line 624"/>
        <xdr:cNvSpPr>
          <a:spLocks/>
        </xdr:cNvSpPr>
      </xdr:nvSpPr>
      <xdr:spPr>
        <a:xfrm flipV="1">
          <a:off x="485775" y="115824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42</xdr:row>
      <xdr:rowOff>142875</xdr:rowOff>
    </xdr:from>
    <xdr:to>
      <xdr:col>30</xdr:col>
      <xdr:colOff>142875</xdr:colOff>
      <xdr:row>67</xdr:row>
      <xdr:rowOff>133350</xdr:rowOff>
    </xdr:to>
    <xdr:sp>
      <xdr:nvSpPr>
        <xdr:cNvPr id="348" name="Line 625"/>
        <xdr:cNvSpPr>
          <a:spLocks/>
        </xdr:cNvSpPr>
      </xdr:nvSpPr>
      <xdr:spPr>
        <a:xfrm>
          <a:off x="5000625" y="6981825"/>
          <a:ext cx="0" cy="441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67</xdr:row>
      <xdr:rowOff>152400</xdr:rowOff>
    </xdr:from>
    <xdr:to>
      <xdr:col>43</xdr:col>
      <xdr:colOff>28575</xdr:colOff>
      <xdr:row>67</xdr:row>
      <xdr:rowOff>152400</xdr:rowOff>
    </xdr:to>
    <xdr:sp>
      <xdr:nvSpPr>
        <xdr:cNvPr id="349" name="Line 626"/>
        <xdr:cNvSpPr>
          <a:spLocks/>
        </xdr:cNvSpPr>
      </xdr:nvSpPr>
      <xdr:spPr>
        <a:xfrm flipV="1">
          <a:off x="5010150" y="11410950"/>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43</xdr:row>
      <xdr:rowOff>9525</xdr:rowOff>
    </xdr:from>
    <xdr:to>
      <xdr:col>42</xdr:col>
      <xdr:colOff>142875</xdr:colOff>
      <xdr:row>43</xdr:row>
      <xdr:rowOff>9525</xdr:rowOff>
    </xdr:to>
    <xdr:sp>
      <xdr:nvSpPr>
        <xdr:cNvPr id="350" name="Line 628"/>
        <xdr:cNvSpPr>
          <a:spLocks/>
        </xdr:cNvSpPr>
      </xdr:nvSpPr>
      <xdr:spPr>
        <a:xfrm>
          <a:off x="4991100" y="70104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9525</xdr:colOff>
      <xdr:row>43</xdr:row>
      <xdr:rowOff>0</xdr:rowOff>
    </xdr:from>
    <xdr:to>
      <xdr:col>35</xdr:col>
      <xdr:colOff>9525</xdr:colOff>
      <xdr:row>68</xdr:row>
      <xdr:rowOff>0</xdr:rowOff>
    </xdr:to>
    <xdr:sp>
      <xdr:nvSpPr>
        <xdr:cNvPr id="351" name="Line 629"/>
        <xdr:cNvSpPr>
          <a:spLocks/>
        </xdr:cNvSpPr>
      </xdr:nvSpPr>
      <xdr:spPr>
        <a:xfrm flipV="1">
          <a:off x="5676900" y="7000875"/>
          <a:ext cx="0" cy="441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43</xdr:row>
      <xdr:rowOff>0</xdr:rowOff>
    </xdr:from>
    <xdr:to>
      <xdr:col>48</xdr:col>
      <xdr:colOff>0</xdr:colOff>
      <xdr:row>68</xdr:row>
      <xdr:rowOff>0</xdr:rowOff>
    </xdr:to>
    <xdr:sp>
      <xdr:nvSpPr>
        <xdr:cNvPr id="352" name="Line 630"/>
        <xdr:cNvSpPr>
          <a:spLocks/>
        </xdr:cNvSpPr>
      </xdr:nvSpPr>
      <xdr:spPr>
        <a:xfrm flipV="1">
          <a:off x="7772400" y="7000875"/>
          <a:ext cx="0" cy="44196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152400</xdr:colOff>
      <xdr:row>43</xdr:row>
      <xdr:rowOff>0</xdr:rowOff>
    </xdr:from>
    <xdr:to>
      <xdr:col>51</xdr:col>
      <xdr:colOff>152400</xdr:colOff>
      <xdr:row>68</xdr:row>
      <xdr:rowOff>0</xdr:rowOff>
    </xdr:to>
    <xdr:sp>
      <xdr:nvSpPr>
        <xdr:cNvPr id="353" name="Line 631"/>
        <xdr:cNvSpPr>
          <a:spLocks/>
        </xdr:cNvSpPr>
      </xdr:nvSpPr>
      <xdr:spPr>
        <a:xfrm flipV="1">
          <a:off x="8410575" y="7000875"/>
          <a:ext cx="0" cy="44196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42</xdr:row>
      <xdr:rowOff>152400</xdr:rowOff>
    </xdr:from>
    <xdr:to>
      <xdr:col>39</xdr:col>
      <xdr:colOff>9525</xdr:colOff>
      <xdr:row>67</xdr:row>
      <xdr:rowOff>152400</xdr:rowOff>
    </xdr:to>
    <xdr:sp>
      <xdr:nvSpPr>
        <xdr:cNvPr id="354" name="Line 635"/>
        <xdr:cNvSpPr>
          <a:spLocks/>
        </xdr:cNvSpPr>
      </xdr:nvSpPr>
      <xdr:spPr>
        <a:xfrm flipV="1">
          <a:off x="6324600" y="6991350"/>
          <a:ext cx="0" cy="441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42</xdr:row>
      <xdr:rowOff>123825</xdr:rowOff>
    </xdr:from>
    <xdr:to>
      <xdr:col>43</xdr:col>
      <xdr:colOff>0</xdr:colOff>
      <xdr:row>67</xdr:row>
      <xdr:rowOff>123825</xdr:rowOff>
    </xdr:to>
    <xdr:sp>
      <xdr:nvSpPr>
        <xdr:cNvPr id="355" name="Line 636"/>
        <xdr:cNvSpPr>
          <a:spLocks/>
        </xdr:cNvSpPr>
      </xdr:nvSpPr>
      <xdr:spPr>
        <a:xfrm flipV="1">
          <a:off x="6962775" y="6962775"/>
          <a:ext cx="0" cy="441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53</xdr:row>
      <xdr:rowOff>142875</xdr:rowOff>
    </xdr:from>
    <xdr:to>
      <xdr:col>37</xdr:col>
      <xdr:colOff>0</xdr:colOff>
      <xdr:row>67</xdr:row>
      <xdr:rowOff>133350</xdr:rowOff>
    </xdr:to>
    <xdr:sp>
      <xdr:nvSpPr>
        <xdr:cNvPr id="356" name="Line 637"/>
        <xdr:cNvSpPr>
          <a:spLocks/>
        </xdr:cNvSpPr>
      </xdr:nvSpPr>
      <xdr:spPr>
        <a:xfrm>
          <a:off x="5991225" y="8877300"/>
          <a:ext cx="0"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54</xdr:row>
      <xdr:rowOff>0</xdr:rowOff>
    </xdr:from>
    <xdr:to>
      <xdr:col>40</xdr:col>
      <xdr:colOff>152400</xdr:colOff>
      <xdr:row>67</xdr:row>
      <xdr:rowOff>133350</xdr:rowOff>
    </xdr:to>
    <xdr:sp>
      <xdr:nvSpPr>
        <xdr:cNvPr id="357" name="Line 638"/>
        <xdr:cNvSpPr>
          <a:spLocks/>
        </xdr:cNvSpPr>
      </xdr:nvSpPr>
      <xdr:spPr>
        <a:xfrm>
          <a:off x="6629400" y="8915400"/>
          <a:ext cx="0" cy="2476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xdr:colOff>
      <xdr:row>61</xdr:row>
      <xdr:rowOff>161925</xdr:rowOff>
    </xdr:from>
    <xdr:to>
      <xdr:col>36</xdr:col>
      <xdr:colOff>9525</xdr:colOff>
      <xdr:row>68</xdr:row>
      <xdr:rowOff>0</xdr:rowOff>
    </xdr:to>
    <xdr:sp>
      <xdr:nvSpPr>
        <xdr:cNvPr id="358" name="Line 642"/>
        <xdr:cNvSpPr>
          <a:spLocks/>
        </xdr:cNvSpPr>
      </xdr:nvSpPr>
      <xdr:spPr>
        <a:xfrm flipV="1">
          <a:off x="5838825" y="1032510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142875</xdr:colOff>
      <xdr:row>61</xdr:row>
      <xdr:rowOff>133350</xdr:rowOff>
    </xdr:from>
    <xdr:to>
      <xdr:col>37</xdr:col>
      <xdr:colOff>142875</xdr:colOff>
      <xdr:row>67</xdr:row>
      <xdr:rowOff>152400</xdr:rowOff>
    </xdr:to>
    <xdr:sp>
      <xdr:nvSpPr>
        <xdr:cNvPr id="359" name="Line 644"/>
        <xdr:cNvSpPr>
          <a:spLocks/>
        </xdr:cNvSpPr>
      </xdr:nvSpPr>
      <xdr:spPr>
        <a:xfrm flipV="1">
          <a:off x="6134100" y="10296525"/>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9525</xdr:colOff>
      <xdr:row>61</xdr:row>
      <xdr:rowOff>152400</xdr:rowOff>
    </xdr:from>
    <xdr:to>
      <xdr:col>42</xdr:col>
      <xdr:colOff>9525</xdr:colOff>
      <xdr:row>67</xdr:row>
      <xdr:rowOff>133350</xdr:rowOff>
    </xdr:to>
    <xdr:sp>
      <xdr:nvSpPr>
        <xdr:cNvPr id="360" name="Line 645"/>
        <xdr:cNvSpPr>
          <a:spLocks/>
        </xdr:cNvSpPr>
      </xdr:nvSpPr>
      <xdr:spPr>
        <a:xfrm flipV="1">
          <a:off x="6810375" y="10315575"/>
          <a:ext cx="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61</xdr:row>
      <xdr:rowOff>104775</xdr:rowOff>
    </xdr:from>
    <xdr:to>
      <xdr:col>40</xdr:col>
      <xdr:colOff>9525</xdr:colOff>
      <xdr:row>67</xdr:row>
      <xdr:rowOff>123825</xdr:rowOff>
    </xdr:to>
    <xdr:sp>
      <xdr:nvSpPr>
        <xdr:cNvPr id="361" name="Line 646"/>
        <xdr:cNvSpPr>
          <a:spLocks/>
        </xdr:cNvSpPr>
      </xdr:nvSpPr>
      <xdr:spPr>
        <a:xfrm flipV="1">
          <a:off x="6486525" y="10267950"/>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61</xdr:row>
      <xdr:rowOff>142875</xdr:rowOff>
    </xdr:from>
    <xdr:to>
      <xdr:col>31</xdr:col>
      <xdr:colOff>152400</xdr:colOff>
      <xdr:row>67</xdr:row>
      <xdr:rowOff>142875</xdr:rowOff>
    </xdr:to>
    <xdr:sp>
      <xdr:nvSpPr>
        <xdr:cNvPr id="362" name="Line 651"/>
        <xdr:cNvSpPr>
          <a:spLocks/>
        </xdr:cNvSpPr>
      </xdr:nvSpPr>
      <xdr:spPr>
        <a:xfrm flipV="1">
          <a:off x="5172075" y="103060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53</xdr:row>
      <xdr:rowOff>133350</xdr:rowOff>
    </xdr:from>
    <xdr:to>
      <xdr:col>33</xdr:col>
      <xdr:colOff>0</xdr:colOff>
      <xdr:row>67</xdr:row>
      <xdr:rowOff>152400</xdr:rowOff>
    </xdr:to>
    <xdr:sp>
      <xdr:nvSpPr>
        <xdr:cNvPr id="363" name="Line 652"/>
        <xdr:cNvSpPr>
          <a:spLocks/>
        </xdr:cNvSpPr>
      </xdr:nvSpPr>
      <xdr:spPr>
        <a:xfrm flipV="1">
          <a:off x="5343525" y="8867775"/>
          <a:ext cx="0" cy="2543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61</xdr:row>
      <xdr:rowOff>133350</xdr:rowOff>
    </xdr:from>
    <xdr:to>
      <xdr:col>33</xdr:col>
      <xdr:colOff>152400</xdr:colOff>
      <xdr:row>68</xdr:row>
      <xdr:rowOff>0</xdr:rowOff>
    </xdr:to>
    <xdr:sp>
      <xdr:nvSpPr>
        <xdr:cNvPr id="364" name="Line 653"/>
        <xdr:cNvSpPr>
          <a:spLocks/>
        </xdr:cNvSpPr>
      </xdr:nvSpPr>
      <xdr:spPr>
        <a:xfrm flipV="1">
          <a:off x="5495925" y="10296525"/>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67</xdr:row>
      <xdr:rowOff>152400</xdr:rowOff>
    </xdr:from>
    <xdr:to>
      <xdr:col>9</xdr:col>
      <xdr:colOff>76200</xdr:colOff>
      <xdr:row>67</xdr:row>
      <xdr:rowOff>152400</xdr:rowOff>
    </xdr:to>
    <xdr:sp>
      <xdr:nvSpPr>
        <xdr:cNvPr id="365" name="Line 656"/>
        <xdr:cNvSpPr>
          <a:spLocks/>
        </xdr:cNvSpPr>
      </xdr:nvSpPr>
      <xdr:spPr>
        <a:xfrm>
          <a:off x="895350" y="1141095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53</xdr:row>
      <xdr:rowOff>76200</xdr:rowOff>
    </xdr:from>
    <xdr:to>
      <xdr:col>6</xdr:col>
      <xdr:colOff>0</xdr:colOff>
      <xdr:row>68</xdr:row>
      <xdr:rowOff>0</xdr:rowOff>
    </xdr:to>
    <xdr:sp>
      <xdr:nvSpPr>
        <xdr:cNvPr id="366" name="Line 657"/>
        <xdr:cNvSpPr>
          <a:spLocks/>
        </xdr:cNvSpPr>
      </xdr:nvSpPr>
      <xdr:spPr>
        <a:xfrm>
          <a:off x="971550" y="8810625"/>
          <a:ext cx="0" cy="2609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43</xdr:row>
      <xdr:rowOff>0</xdr:rowOff>
    </xdr:from>
    <xdr:to>
      <xdr:col>12</xdr:col>
      <xdr:colOff>38100</xdr:colOff>
      <xdr:row>43</xdr:row>
      <xdr:rowOff>0</xdr:rowOff>
    </xdr:to>
    <xdr:sp>
      <xdr:nvSpPr>
        <xdr:cNvPr id="367" name="Line 658"/>
        <xdr:cNvSpPr>
          <a:spLocks/>
        </xdr:cNvSpPr>
      </xdr:nvSpPr>
      <xdr:spPr>
        <a:xfrm>
          <a:off x="695325" y="70008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47625</xdr:rowOff>
    </xdr:from>
    <xdr:to>
      <xdr:col>5</xdr:col>
      <xdr:colOff>0</xdr:colOff>
      <xdr:row>72</xdr:row>
      <xdr:rowOff>9525</xdr:rowOff>
    </xdr:to>
    <xdr:sp>
      <xdr:nvSpPr>
        <xdr:cNvPr id="368" name="Line 659"/>
        <xdr:cNvSpPr>
          <a:spLocks/>
        </xdr:cNvSpPr>
      </xdr:nvSpPr>
      <xdr:spPr>
        <a:xfrm>
          <a:off x="809625" y="8058150"/>
          <a:ext cx="0"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24</xdr:row>
      <xdr:rowOff>9525</xdr:rowOff>
    </xdr:from>
    <xdr:to>
      <xdr:col>23</xdr:col>
      <xdr:colOff>152400</xdr:colOff>
      <xdr:row>24</xdr:row>
      <xdr:rowOff>9525</xdr:rowOff>
    </xdr:to>
    <xdr:sp>
      <xdr:nvSpPr>
        <xdr:cNvPr id="369" name="Line 660"/>
        <xdr:cNvSpPr>
          <a:spLocks/>
        </xdr:cNvSpPr>
      </xdr:nvSpPr>
      <xdr:spPr>
        <a:xfrm>
          <a:off x="3105150" y="39338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4</xdr:row>
      <xdr:rowOff>0</xdr:rowOff>
    </xdr:from>
    <xdr:to>
      <xdr:col>34</xdr:col>
      <xdr:colOff>76200</xdr:colOff>
      <xdr:row>4</xdr:row>
      <xdr:rowOff>0</xdr:rowOff>
    </xdr:to>
    <xdr:sp>
      <xdr:nvSpPr>
        <xdr:cNvPr id="370" name="Line 661"/>
        <xdr:cNvSpPr>
          <a:spLocks/>
        </xdr:cNvSpPr>
      </xdr:nvSpPr>
      <xdr:spPr>
        <a:xfrm>
          <a:off x="4400550" y="64770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59</xdr:row>
      <xdr:rowOff>104775</xdr:rowOff>
    </xdr:from>
    <xdr:to>
      <xdr:col>15</xdr:col>
      <xdr:colOff>28575</xdr:colOff>
      <xdr:row>59</xdr:row>
      <xdr:rowOff>171450</xdr:rowOff>
    </xdr:to>
    <xdr:sp>
      <xdr:nvSpPr>
        <xdr:cNvPr id="371" name="Arc 663"/>
        <xdr:cNvSpPr>
          <a:spLocks/>
        </xdr:cNvSpPr>
      </xdr:nvSpPr>
      <xdr:spPr>
        <a:xfrm>
          <a:off x="2419350" y="9906000"/>
          <a:ext cx="38100" cy="6667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65</xdr:row>
      <xdr:rowOff>95250</xdr:rowOff>
    </xdr:from>
    <xdr:to>
      <xdr:col>19</xdr:col>
      <xdr:colOff>47625</xdr:colOff>
      <xdr:row>65</xdr:row>
      <xdr:rowOff>95250</xdr:rowOff>
    </xdr:to>
    <xdr:sp>
      <xdr:nvSpPr>
        <xdr:cNvPr id="372" name="Line 700"/>
        <xdr:cNvSpPr>
          <a:spLocks/>
        </xdr:cNvSpPr>
      </xdr:nvSpPr>
      <xdr:spPr>
        <a:xfrm flipH="1">
          <a:off x="3038475" y="109823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59</xdr:row>
      <xdr:rowOff>142875</xdr:rowOff>
    </xdr:from>
    <xdr:to>
      <xdr:col>14</xdr:col>
      <xdr:colOff>152400</xdr:colOff>
      <xdr:row>59</xdr:row>
      <xdr:rowOff>142875</xdr:rowOff>
    </xdr:to>
    <xdr:sp>
      <xdr:nvSpPr>
        <xdr:cNvPr id="373" name="Line 701"/>
        <xdr:cNvSpPr>
          <a:spLocks/>
        </xdr:cNvSpPr>
      </xdr:nvSpPr>
      <xdr:spPr>
        <a:xfrm>
          <a:off x="2257425" y="9944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58</xdr:row>
      <xdr:rowOff>114300</xdr:rowOff>
    </xdr:from>
    <xdr:to>
      <xdr:col>16</xdr:col>
      <xdr:colOff>76200</xdr:colOff>
      <xdr:row>58</xdr:row>
      <xdr:rowOff>114300</xdr:rowOff>
    </xdr:to>
    <xdr:sp>
      <xdr:nvSpPr>
        <xdr:cNvPr id="374" name="Line 702"/>
        <xdr:cNvSpPr>
          <a:spLocks/>
        </xdr:cNvSpPr>
      </xdr:nvSpPr>
      <xdr:spPr>
        <a:xfrm>
          <a:off x="2266950" y="97345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58</xdr:row>
      <xdr:rowOff>114300</xdr:rowOff>
    </xdr:from>
    <xdr:to>
      <xdr:col>13</xdr:col>
      <xdr:colOff>152400</xdr:colOff>
      <xdr:row>59</xdr:row>
      <xdr:rowOff>152400</xdr:rowOff>
    </xdr:to>
    <xdr:sp>
      <xdr:nvSpPr>
        <xdr:cNvPr id="375" name="Line 703"/>
        <xdr:cNvSpPr>
          <a:spLocks/>
        </xdr:cNvSpPr>
      </xdr:nvSpPr>
      <xdr:spPr>
        <a:xfrm>
          <a:off x="2257425" y="97345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71</xdr:row>
      <xdr:rowOff>57150</xdr:rowOff>
    </xdr:from>
    <xdr:to>
      <xdr:col>11</xdr:col>
      <xdr:colOff>57150</xdr:colOff>
      <xdr:row>73</xdr:row>
      <xdr:rowOff>76200</xdr:rowOff>
    </xdr:to>
    <xdr:sp>
      <xdr:nvSpPr>
        <xdr:cNvPr id="376" name="Line 706"/>
        <xdr:cNvSpPr>
          <a:spLocks/>
        </xdr:cNvSpPr>
      </xdr:nvSpPr>
      <xdr:spPr>
        <a:xfrm flipV="1">
          <a:off x="1838325" y="119634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73</xdr:row>
      <xdr:rowOff>76200</xdr:rowOff>
    </xdr:from>
    <xdr:to>
      <xdr:col>11</xdr:col>
      <xdr:colOff>57150</xdr:colOff>
      <xdr:row>73</xdr:row>
      <xdr:rowOff>76200</xdr:rowOff>
    </xdr:to>
    <xdr:sp>
      <xdr:nvSpPr>
        <xdr:cNvPr id="377" name="Line 710"/>
        <xdr:cNvSpPr>
          <a:spLocks/>
        </xdr:cNvSpPr>
      </xdr:nvSpPr>
      <xdr:spPr>
        <a:xfrm flipH="1">
          <a:off x="1714500" y="123063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71</xdr:row>
      <xdr:rowOff>47625</xdr:rowOff>
    </xdr:from>
    <xdr:to>
      <xdr:col>19</xdr:col>
      <xdr:colOff>9525</xdr:colOff>
      <xdr:row>73</xdr:row>
      <xdr:rowOff>95250</xdr:rowOff>
    </xdr:to>
    <xdr:sp>
      <xdr:nvSpPr>
        <xdr:cNvPr id="378" name="Line 711"/>
        <xdr:cNvSpPr>
          <a:spLocks/>
        </xdr:cNvSpPr>
      </xdr:nvSpPr>
      <xdr:spPr>
        <a:xfrm flipV="1">
          <a:off x="3086100" y="1195387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65</xdr:row>
      <xdr:rowOff>114300</xdr:rowOff>
    </xdr:from>
    <xdr:to>
      <xdr:col>18</xdr:col>
      <xdr:colOff>76200</xdr:colOff>
      <xdr:row>71</xdr:row>
      <xdr:rowOff>9525</xdr:rowOff>
    </xdr:to>
    <xdr:sp>
      <xdr:nvSpPr>
        <xdr:cNvPr id="379" name="Line 713"/>
        <xdr:cNvSpPr>
          <a:spLocks/>
        </xdr:cNvSpPr>
      </xdr:nvSpPr>
      <xdr:spPr>
        <a:xfrm>
          <a:off x="2990850" y="110013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62</xdr:row>
      <xdr:rowOff>104775</xdr:rowOff>
    </xdr:from>
    <xdr:to>
      <xdr:col>12</xdr:col>
      <xdr:colOff>85725</xdr:colOff>
      <xdr:row>62</xdr:row>
      <xdr:rowOff>104775</xdr:rowOff>
    </xdr:to>
    <xdr:sp>
      <xdr:nvSpPr>
        <xdr:cNvPr id="380" name="Line 714"/>
        <xdr:cNvSpPr>
          <a:spLocks/>
        </xdr:cNvSpPr>
      </xdr:nvSpPr>
      <xdr:spPr>
        <a:xfrm>
          <a:off x="1847850" y="104489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65</xdr:row>
      <xdr:rowOff>161925</xdr:rowOff>
    </xdr:from>
    <xdr:to>
      <xdr:col>42</xdr:col>
      <xdr:colOff>152400</xdr:colOff>
      <xdr:row>65</xdr:row>
      <xdr:rowOff>161925</xdr:rowOff>
    </xdr:to>
    <xdr:sp>
      <xdr:nvSpPr>
        <xdr:cNvPr id="381" name="Line 715"/>
        <xdr:cNvSpPr>
          <a:spLocks/>
        </xdr:cNvSpPr>
      </xdr:nvSpPr>
      <xdr:spPr>
        <a:xfrm>
          <a:off x="5010150" y="1104900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63</xdr:row>
      <xdr:rowOff>161925</xdr:rowOff>
    </xdr:from>
    <xdr:to>
      <xdr:col>43</xdr:col>
      <xdr:colOff>0</xdr:colOff>
      <xdr:row>63</xdr:row>
      <xdr:rowOff>161925</xdr:rowOff>
    </xdr:to>
    <xdr:sp>
      <xdr:nvSpPr>
        <xdr:cNvPr id="382" name="Line 716"/>
        <xdr:cNvSpPr>
          <a:spLocks/>
        </xdr:cNvSpPr>
      </xdr:nvSpPr>
      <xdr:spPr>
        <a:xfrm>
          <a:off x="5010150" y="106870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61</xdr:row>
      <xdr:rowOff>152400</xdr:rowOff>
    </xdr:from>
    <xdr:to>
      <xdr:col>42</xdr:col>
      <xdr:colOff>142875</xdr:colOff>
      <xdr:row>61</xdr:row>
      <xdr:rowOff>152400</xdr:rowOff>
    </xdr:to>
    <xdr:sp>
      <xdr:nvSpPr>
        <xdr:cNvPr id="383" name="Line 718"/>
        <xdr:cNvSpPr>
          <a:spLocks/>
        </xdr:cNvSpPr>
      </xdr:nvSpPr>
      <xdr:spPr>
        <a:xfrm>
          <a:off x="5000625" y="103155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59</xdr:row>
      <xdr:rowOff>152400</xdr:rowOff>
    </xdr:from>
    <xdr:to>
      <xdr:col>43</xdr:col>
      <xdr:colOff>19050</xdr:colOff>
      <xdr:row>59</xdr:row>
      <xdr:rowOff>152400</xdr:rowOff>
    </xdr:to>
    <xdr:sp>
      <xdr:nvSpPr>
        <xdr:cNvPr id="384" name="Line 719"/>
        <xdr:cNvSpPr>
          <a:spLocks/>
        </xdr:cNvSpPr>
      </xdr:nvSpPr>
      <xdr:spPr>
        <a:xfrm>
          <a:off x="4991100" y="9953625"/>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57</xdr:row>
      <xdr:rowOff>152400</xdr:rowOff>
    </xdr:from>
    <xdr:to>
      <xdr:col>42</xdr:col>
      <xdr:colOff>152400</xdr:colOff>
      <xdr:row>57</xdr:row>
      <xdr:rowOff>152400</xdr:rowOff>
    </xdr:to>
    <xdr:sp>
      <xdr:nvSpPr>
        <xdr:cNvPr id="385" name="Line 720"/>
        <xdr:cNvSpPr>
          <a:spLocks/>
        </xdr:cNvSpPr>
      </xdr:nvSpPr>
      <xdr:spPr>
        <a:xfrm>
          <a:off x="4991100" y="9610725"/>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55</xdr:row>
      <xdr:rowOff>161925</xdr:rowOff>
    </xdr:from>
    <xdr:to>
      <xdr:col>43</xdr:col>
      <xdr:colOff>9525</xdr:colOff>
      <xdr:row>55</xdr:row>
      <xdr:rowOff>161925</xdr:rowOff>
    </xdr:to>
    <xdr:sp>
      <xdr:nvSpPr>
        <xdr:cNvPr id="386" name="Line 721"/>
        <xdr:cNvSpPr>
          <a:spLocks/>
        </xdr:cNvSpPr>
      </xdr:nvSpPr>
      <xdr:spPr>
        <a:xfrm>
          <a:off x="5019675" y="92583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133350</xdr:colOff>
      <xdr:row>53</xdr:row>
      <xdr:rowOff>152400</xdr:rowOff>
    </xdr:from>
    <xdr:to>
      <xdr:col>43</xdr:col>
      <xdr:colOff>9525</xdr:colOff>
      <xdr:row>53</xdr:row>
      <xdr:rowOff>152400</xdr:rowOff>
    </xdr:to>
    <xdr:sp>
      <xdr:nvSpPr>
        <xdr:cNvPr id="387" name="Line 722"/>
        <xdr:cNvSpPr>
          <a:spLocks/>
        </xdr:cNvSpPr>
      </xdr:nvSpPr>
      <xdr:spPr>
        <a:xfrm>
          <a:off x="4991100" y="8886825"/>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51</xdr:row>
      <xdr:rowOff>152400</xdr:rowOff>
    </xdr:from>
    <xdr:to>
      <xdr:col>42</xdr:col>
      <xdr:colOff>152400</xdr:colOff>
      <xdr:row>51</xdr:row>
      <xdr:rowOff>152400</xdr:rowOff>
    </xdr:to>
    <xdr:sp>
      <xdr:nvSpPr>
        <xdr:cNvPr id="388" name="Line 723"/>
        <xdr:cNvSpPr>
          <a:spLocks/>
        </xdr:cNvSpPr>
      </xdr:nvSpPr>
      <xdr:spPr>
        <a:xfrm>
          <a:off x="5010150" y="85248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49</xdr:row>
      <xdr:rowOff>152400</xdr:rowOff>
    </xdr:from>
    <xdr:to>
      <xdr:col>42</xdr:col>
      <xdr:colOff>152400</xdr:colOff>
      <xdr:row>49</xdr:row>
      <xdr:rowOff>152400</xdr:rowOff>
    </xdr:to>
    <xdr:sp>
      <xdr:nvSpPr>
        <xdr:cNvPr id="389" name="Line 724"/>
        <xdr:cNvSpPr>
          <a:spLocks/>
        </xdr:cNvSpPr>
      </xdr:nvSpPr>
      <xdr:spPr>
        <a:xfrm>
          <a:off x="5000625" y="816292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47</xdr:row>
      <xdr:rowOff>142875</xdr:rowOff>
    </xdr:from>
    <xdr:to>
      <xdr:col>43</xdr:col>
      <xdr:colOff>0</xdr:colOff>
      <xdr:row>47</xdr:row>
      <xdr:rowOff>142875</xdr:rowOff>
    </xdr:to>
    <xdr:sp>
      <xdr:nvSpPr>
        <xdr:cNvPr id="390" name="Line 725"/>
        <xdr:cNvSpPr>
          <a:spLocks/>
        </xdr:cNvSpPr>
      </xdr:nvSpPr>
      <xdr:spPr>
        <a:xfrm>
          <a:off x="5010150" y="78295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xdr:colOff>
      <xdr:row>45</xdr:row>
      <xdr:rowOff>95250</xdr:rowOff>
    </xdr:from>
    <xdr:to>
      <xdr:col>43</xdr:col>
      <xdr:colOff>0</xdr:colOff>
      <xdr:row>45</xdr:row>
      <xdr:rowOff>95250</xdr:rowOff>
    </xdr:to>
    <xdr:sp>
      <xdr:nvSpPr>
        <xdr:cNvPr id="391" name="Line 726"/>
        <xdr:cNvSpPr>
          <a:spLocks/>
        </xdr:cNvSpPr>
      </xdr:nvSpPr>
      <xdr:spPr>
        <a:xfrm>
          <a:off x="5038725" y="7419975"/>
          <a:ext cx="192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44</xdr:row>
      <xdr:rowOff>95250</xdr:rowOff>
    </xdr:from>
    <xdr:to>
      <xdr:col>13</xdr:col>
      <xdr:colOff>19050</xdr:colOff>
      <xdr:row>44</xdr:row>
      <xdr:rowOff>95250</xdr:rowOff>
    </xdr:to>
    <xdr:sp>
      <xdr:nvSpPr>
        <xdr:cNvPr id="392" name="Line 729"/>
        <xdr:cNvSpPr>
          <a:spLocks/>
        </xdr:cNvSpPr>
      </xdr:nvSpPr>
      <xdr:spPr>
        <a:xfrm>
          <a:off x="1933575" y="72580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49</xdr:row>
      <xdr:rowOff>142875</xdr:rowOff>
    </xdr:from>
    <xdr:to>
      <xdr:col>32</xdr:col>
      <xdr:colOff>0</xdr:colOff>
      <xdr:row>50</xdr:row>
      <xdr:rowOff>152400</xdr:rowOff>
    </xdr:to>
    <xdr:sp>
      <xdr:nvSpPr>
        <xdr:cNvPr id="393" name="Line 731"/>
        <xdr:cNvSpPr>
          <a:spLocks/>
        </xdr:cNvSpPr>
      </xdr:nvSpPr>
      <xdr:spPr>
        <a:xfrm flipV="1">
          <a:off x="5181600" y="8153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47</xdr:row>
      <xdr:rowOff>152400</xdr:rowOff>
    </xdr:from>
    <xdr:to>
      <xdr:col>32</xdr:col>
      <xdr:colOff>0</xdr:colOff>
      <xdr:row>49</xdr:row>
      <xdr:rowOff>133350</xdr:rowOff>
    </xdr:to>
    <xdr:sp>
      <xdr:nvSpPr>
        <xdr:cNvPr id="394" name="Line 732"/>
        <xdr:cNvSpPr>
          <a:spLocks/>
        </xdr:cNvSpPr>
      </xdr:nvSpPr>
      <xdr:spPr>
        <a:xfrm flipV="1">
          <a:off x="5181600" y="78390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45</xdr:row>
      <xdr:rowOff>95250</xdr:rowOff>
    </xdr:from>
    <xdr:to>
      <xdr:col>32</xdr:col>
      <xdr:colOff>0</xdr:colOff>
      <xdr:row>47</xdr:row>
      <xdr:rowOff>152400</xdr:rowOff>
    </xdr:to>
    <xdr:sp>
      <xdr:nvSpPr>
        <xdr:cNvPr id="395" name="Line 733"/>
        <xdr:cNvSpPr>
          <a:spLocks/>
        </xdr:cNvSpPr>
      </xdr:nvSpPr>
      <xdr:spPr>
        <a:xfrm flipV="1">
          <a:off x="5181600" y="74199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50</xdr:row>
      <xdr:rowOff>142875</xdr:rowOff>
    </xdr:from>
    <xdr:to>
      <xdr:col>32</xdr:col>
      <xdr:colOff>0</xdr:colOff>
      <xdr:row>51</xdr:row>
      <xdr:rowOff>133350</xdr:rowOff>
    </xdr:to>
    <xdr:sp>
      <xdr:nvSpPr>
        <xdr:cNvPr id="396" name="Line 734"/>
        <xdr:cNvSpPr>
          <a:spLocks/>
        </xdr:cNvSpPr>
      </xdr:nvSpPr>
      <xdr:spPr>
        <a:xfrm>
          <a:off x="5181600" y="83343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51</xdr:row>
      <xdr:rowOff>142875</xdr:rowOff>
    </xdr:from>
    <xdr:to>
      <xdr:col>32</xdr:col>
      <xdr:colOff>0</xdr:colOff>
      <xdr:row>53</xdr:row>
      <xdr:rowOff>142875</xdr:rowOff>
    </xdr:to>
    <xdr:sp>
      <xdr:nvSpPr>
        <xdr:cNvPr id="397" name="Line 735"/>
        <xdr:cNvSpPr>
          <a:spLocks/>
        </xdr:cNvSpPr>
      </xdr:nvSpPr>
      <xdr:spPr>
        <a:xfrm>
          <a:off x="5181600" y="85153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53</xdr:row>
      <xdr:rowOff>142875</xdr:rowOff>
    </xdr:from>
    <xdr:to>
      <xdr:col>32</xdr:col>
      <xdr:colOff>0</xdr:colOff>
      <xdr:row>55</xdr:row>
      <xdr:rowOff>171450</xdr:rowOff>
    </xdr:to>
    <xdr:sp>
      <xdr:nvSpPr>
        <xdr:cNvPr id="398" name="Line 736"/>
        <xdr:cNvSpPr>
          <a:spLocks/>
        </xdr:cNvSpPr>
      </xdr:nvSpPr>
      <xdr:spPr>
        <a:xfrm>
          <a:off x="5181600" y="8877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51</xdr:row>
      <xdr:rowOff>0</xdr:rowOff>
    </xdr:from>
    <xdr:to>
      <xdr:col>31</xdr:col>
      <xdr:colOff>152400</xdr:colOff>
      <xdr:row>51</xdr:row>
      <xdr:rowOff>0</xdr:rowOff>
    </xdr:to>
    <xdr:sp>
      <xdr:nvSpPr>
        <xdr:cNvPr id="399" name="Line 737"/>
        <xdr:cNvSpPr>
          <a:spLocks/>
        </xdr:cNvSpPr>
      </xdr:nvSpPr>
      <xdr:spPr>
        <a:xfrm flipH="1">
          <a:off x="3771900" y="837247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123825</xdr:colOff>
      <xdr:row>45</xdr:row>
      <xdr:rowOff>85725</xdr:rowOff>
    </xdr:from>
    <xdr:to>
      <xdr:col>16</xdr:col>
      <xdr:colOff>19050</xdr:colOff>
      <xdr:row>45</xdr:row>
      <xdr:rowOff>85725</xdr:rowOff>
    </xdr:to>
    <xdr:sp>
      <xdr:nvSpPr>
        <xdr:cNvPr id="400" name="Line 745"/>
        <xdr:cNvSpPr>
          <a:spLocks/>
        </xdr:cNvSpPr>
      </xdr:nvSpPr>
      <xdr:spPr>
        <a:xfrm flipH="1">
          <a:off x="2390775" y="74104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47</xdr:row>
      <xdr:rowOff>123825</xdr:rowOff>
    </xdr:from>
    <xdr:to>
      <xdr:col>52</xdr:col>
      <xdr:colOff>0</xdr:colOff>
      <xdr:row>47</xdr:row>
      <xdr:rowOff>123825</xdr:rowOff>
    </xdr:to>
    <xdr:sp>
      <xdr:nvSpPr>
        <xdr:cNvPr id="401" name="Line 752"/>
        <xdr:cNvSpPr>
          <a:spLocks/>
        </xdr:cNvSpPr>
      </xdr:nvSpPr>
      <xdr:spPr>
        <a:xfrm>
          <a:off x="7134225" y="7810500"/>
          <a:ext cx="12858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51</xdr:row>
      <xdr:rowOff>142875</xdr:rowOff>
    </xdr:from>
    <xdr:to>
      <xdr:col>52</xdr:col>
      <xdr:colOff>0</xdr:colOff>
      <xdr:row>51</xdr:row>
      <xdr:rowOff>142875</xdr:rowOff>
    </xdr:to>
    <xdr:sp>
      <xdr:nvSpPr>
        <xdr:cNvPr id="402" name="Line 753"/>
        <xdr:cNvSpPr>
          <a:spLocks/>
        </xdr:cNvSpPr>
      </xdr:nvSpPr>
      <xdr:spPr>
        <a:xfrm>
          <a:off x="7134225" y="8515350"/>
          <a:ext cx="12858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55</xdr:row>
      <xdr:rowOff>152400</xdr:rowOff>
    </xdr:from>
    <xdr:to>
      <xdr:col>51</xdr:col>
      <xdr:colOff>142875</xdr:colOff>
      <xdr:row>55</xdr:row>
      <xdr:rowOff>152400</xdr:rowOff>
    </xdr:to>
    <xdr:sp>
      <xdr:nvSpPr>
        <xdr:cNvPr id="403" name="Line 754"/>
        <xdr:cNvSpPr>
          <a:spLocks/>
        </xdr:cNvSpPr>
      </xdr:nvSpPr>
      <xdr:spPr>
        <a:xfrm>
          <a:off x="7124700" y="9248775"/>
          <a:ext cx="127635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59</xdr:row>
      <xdr:rowOff>142875</xdr:rowOff>
    </xdr:from>
    <xdr:to>
      <xdr:col>52</xdr:col>
      <xdr:colOff>0</xdr:colOff>
      <xdr:row>59</xdr:row>
      <xdr:rowOff>142875</xdr:rowOff>
    </xdr:to>
    <xdr:sp>
      <xdr:nvSpPr>
        <xdr:cNvPr id="404" name="Line 755"/>
        <xdr:cNvSpPr>
          <a:spLocks/>
        </xdr:cNvSpPr>
      </xdr:nvSpPr>
      <xdr:spPr>
        <a:xfrm>
          <a:off x="7134225" y="9944100"/>
          <a:ext cx="12858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19050</xdr:colOff>
      <xdr:row>63</xdr:row>
      <xdr:rowOff>142875</xdr:rowOff>
    </xdr:from>
    <xdr:to>
      <xdr:col>51</xdr:col>
      <xdr:colOff>133350</xdr:colOff>
      <xdr:row>63</xdr:row>
      <xdr:rowOff>142875</xdr:rowOff>
    </xdr:to>
    <xdr:sp>
      <xdr:nvSpPr>
        <xdr:cNvPr id="405" name="Line 756"/>
        <xdr:cNvSpPr>
          <a:spLocks/>
        </xdr:cNvSpPr>
      </xdr:nvSpPr>
      <xdr:spPr>
        <a:xfrm>
          <a:off x="7143750" y="10668000"/>
          <a:ext cx="12477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68</xdr:row>
      <xdr:rowOff>95250</xdr:rowOff>
    </xdr:from>
    <xdr:to>
      <xdr:col>43</xdr:col>
      <xdr:colOff>0</xdr:colOff>
      <xdr:row>68</xdr:row>
      <xdr:rowOff>95250</xdr:rowOff>
    </xdr:to>
    <xdr:sp>
      <xdr:nvSpPr>
        <xdr:cNvPr id="406" name="Line 758"/>
        <xdr:cNvSpPr>
          <a:spLocks/>
        </xdr:cNvSpPr>
      </xdr:nvSpPr>
      <xdr:spPr>
        <a:xfrm>
          <a:off x="6515100" y="115157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68</xdr:row>
      <xdr:rowOff>66675</xdr:rowOff>
    </xdr:from>
    <xdr:to>
      <xdr:col>34</xdr:col>
      <xdr:colOff>0</xdr:colOff>
      <xdr:row>68</xdr:row>
      <xdr:rowOff>66675</xdr:rowOff>
    </xdr:to>
    <xdr:sp>
      <xdr:nvSpPr>
        <xdr:cNvPr id="407" name="Line 759"/>
        <xdr:cNvSpPr>
          <a:spLocks/>
        </xdr:cNvSpPr>
      </xdr:nvSpPr>
      <xdr:spPr>
        <a:xfrm flipH="1">
          <a:off x="5000625" y="114871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28575</xdr:colOff>
      <xdr:row>68</xdr:row>
      <xdr:rowOff>104775</xdr:rowOff>
    </xdr:from>
    <xdr:to>
      <xdr:col>45</xdr:col>
      <xdr:colOff>28575</xdr:colOff>
      <xdr:row>68</xdr:row>
      <xdr:rowOff>104775</xdr:rowOff>
    </xdr:to>
    <xdr:sp>
      <xdr:nvSpPr>
        <xdr:cNvPr id="408" name="Line 760"/>
        <xdr:cNvSpPr>
          <a:spLocks/>
        </xdr:cNvSpPr>
      </xdr:nvSpPr>
      <xdr:spPr>
        <a:xfrm flipH="1">
          <a:off x="7153275" y="115252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68</xdr:row>
      <xdr:rowOff>95250</xdr:rowOff>
    </xdr:from>
    <xdr:to>
      <xdr:col>52</xdr:col>
      <xdr:colOff>0</xdr:colOff>
      <xdr:row>68</xdr:row>
      <xdr:rowOff>95250</xdr:rowOff>
    </xdr:to>
    <xdr:sp>
      <xdr:nvSpPr>
        <xdr:cNvPr id="409" name="Line 761"/>
        <xdr:cNvSpPr>
          <a:spLocks/>
        </xdr:cNvSpPr>
      </xdr:nvSpPr>
      <xdr:spPr>
        <a:xfrm>
          <a:off x="8258175" y="115157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51</xdr:row>
      <xdr:rowOff>142875</xdr:rowOff>
    </xdr:from>
    <xdr:to>
      <xdr:col>50</xdr:col>
      <xdr:colOff>0</xdr:colOff>
      <xdr:row>53</xdr:row>
      <xdr:rowOff>85725</xdr:rowOff>
    </xdr:to>
    <xdr:sp>
      <xdr:nvSpPr>
        <xdr:cNvPr id="410" name="Line 762"/>
        <xdr:cNvSpPr>
          <a:spLocks/>
        </xdr:cNvSpPr>
      </xdr:nvSpPr>
      <xdr:spPr>
        <a:xfrm flipV="1">
          <a:off x="8096250" y="85153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53</xdr:row>
      <xdr:rowOff>123825</xdr:rowOff>
    </xdr:from>
    <xdr:to>
      <xdr:col>50</xdr:col>
      <xdr:colOff>0</xdr:colOff>
      <xdr:row>55</xdr:row>
      <xdr:rowOff>152400</xdr:rowOff>
    </xdr:to>
    <xdr:sp>
      <xdr:nvSpPr>
        <xdr:cNvPr id="411" name="Line 763"/>
        <xdr:cNvSpPr>
          <a:spLocks/>
        </xdr:cNvSpPr>
      </xdr:nvSpPr>
      <xdr:spPr>
        <a:xfrm>
          <a:off x="8096250" y="88582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152400</xdr:colOff>
      <xdr:row>53</xdr:row>
      <xdr:rowOff>104775</xdr:rowOff>
    </xdr:from>
    <xdr:to>
      <xdr:col>53</xdr:col>
      <xdr:colOff>47625</xdr:colOff>
      <xdr:row>53</xdr:row>
      <xdr:rowOff>104775</xdr:rowOff>
    </xdr:to>
    <xdr:sp>
      <xdr:nvSpPr>
        <xdr:cNvPr id="412" name="Line 764"/>
        <xdr:cNvSpPr>
          <a:spLocks/>
        </xdr:cNvSpPr>
      </xdr:nvSpPr>
      <xdr:spPr>
        <a:xfrm>
          <a:off x="8086725" y="88392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152400</xdr:colOff>
      <xdr:row>47</xdr:row>
      <xdr:rowOff>123825</xdr:rowOff>
    </xdr:from>
    <xdr:to>
      <xdr:col>49</xdr:col>
      <xdr:colOff>152400</xdr:colOff>
      <xdr:row>51</xdr:row>
      <xdr:rowOff>133350</xdr:rowOff>
    </xdr:to>
    <xdr:sp>
      <xdr:nvSpPr>
        <xdr:cNvPr id="413" name="Line 765"/>
        <xdr:cNvSpPr>
          <a:spLocks/>
        </xdr:cNvSpPr>
      </xdr:nvSpPr>
      <xdr:spPr>
        <a:xfrm flipV="1">
          <a:off x="8086725" y="781050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0</xdr:colOff>
      <xdr:row>55</xdr:row>
      <xdr:rowOff>161925</xdr:rowOff>
    </xdr:from>
    <xdr:to>
      <xdr:col>50</xdr:col>
      <xdr:colOff>0</xdr:colOff>
      <xdr:row>59</xdr:row>
      <xdr:rowOff>142875</xdr:rowOff>
    </xdr:to>
    <xdr:sp>
      <xdr:nvSpPr>
        <xdr:cNvPr id="414" name="Line 766"/>
        <xdr:cNvSpPr>
          <a:spLocks/>
        </xdr:cNvSpPr>
      </xdr:nvSpPr>
      <xdr:spPr>
        <a:xfrm>
          <a:off x="8096250" y="92583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152400</xdr:colOff>
      <xdr:row>46</xdr:row>
      <xdr:rowOff>104775</xdr:rowOff>
    </xdr:from>
    <xdr:to>
      <xdr:col>53</xdr:col>
      <xdr:colOff>66675</xdr:colOff>
      <xdr:row>46</xdr:row>
      <xdr:rowOff>104775</xdr:rowOff>
    </xdr:to>
    <xdr:sp>
      <xdr:nvSpPr>
        <xdr:cNvPr id="415" name="Line 767"/>
        <xdr:cNvSpPr>
          <a:spLocks/>
        </xdr:cNvSpPr>
      </xdr:nvSpPr>
      <xdr:spPr>
        <a:xfrm flipH="1">
          <a:off x="8410575" y="76104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142875</xdr:colOff>
      <xdr:row>46</xdr:row>
      <xdr:rowOff>104775</xdr:rowOff>
    </xdr:from>
    <xdr:to>
      <xdr:col>52</xdr:col>
      <xdr:colOff>0</xdr:colOff>
      <xdr:row>46</xdr:row>
      <xdr:rowOff>104775</xdr:rowOff>
    </xdr:to>
    <xdr:sp>
      <xdr:nvSpPr>
        <xdr:cNvPr id="416" name="Line 768"/>
        <xdr:cNvSpPr>
          <a:spLocks/>
        </xdr:cNvSpPr>
      </xdr:nvSpPr>
      <xdr:spPr>
        <a:xfrm flipH="1">
          <a:off x="7753350" y="76104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9525</xdr:colOff>
      <xdr:row>43</xdr:row>
      <xdr:rowOff>19050</xdr:rowOff>
    </xdr:from>
    <xdr:to>
      <xdr:col>44</xdr:col>
      <xdr:colOff>9525</xdr:colOff>
      <xdr:row>68</xdr:row>
      <xdr:rowOff>38100</xdr:rowOff>
    </xdr:to>
    <xdr:sp>
      <xdr:nvSpPr>
        <xdr:cNvPr id="417" name="Line 769"/>
        <xdr:cNvSpPr>
          <a:spLocks/>
        </xdr:cNvSpPr>
      </xdr:nvSpPr>
      <xdr:spPr>
        <a:xfrm>
          <a:off x="7134225" y="7019925"/>
          <a:ext cx="0" cy="443865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43</xdr:row>
      <xdr:rowOff>19050</xdr:rowOff>
    </xdr:from>
    <xdr:to>
      <xdr:col>52</xdr:col>
      <xdr:colOff>9525</xdr:colOff>
      <xdr:row>43</xdr:row>
      <xdr:rowOff>19050</xdr:rowOff>
    </xdr:to>
    <xdr:sp>
      <xdr:nvSpPr>
        <xdr:cNvPr id="418" name="Line 770"/>
        <xdr:cNvSpPr>
          <a:spLocks/>
        </xdr:cNvSpPr>
      </xdr:nvSpPr>
      <xdr:spPr>
        <a:xfrm>
          <a:off x="7124700" y="7019925"/>
          <a:ext cx="1304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142875</xdr:colOff>
      <xdr:row>46</xdr:row>
      <xdr:rowOff>114300</xdr:rowOff>
    </xdr:from>
    <xdr:to>
      <xdr:col>47</xdr:col>
      <xdr:colOff>142875</xdr:colOff>
      <xdr:row>46</xdr:row>
      <xdr:rowOff>114300</xdr:rowOff>
    </xdr:to>
    <xdr:sp>
      <xdr:nvSpPr>
        <xdr:cNvPr id="419" name="Line 771"/>
        <xdr:cNvSpPr>
          <a:spLocks/>
        </xdr:cNvSpPr>
      </xdr:nvSpPr>
      <xdr:spPr>
        <a:xfrm flipH="1">
          <a:off x="7105650" y="7620000"/>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42</xdr:row>
      <xdr:rowOff>152400</xdr:rowOff>
    </xdr:from>
    <xdr:to>
      <xdr:col>29</xdr:col>
      <xdr:colOff>104775</xdr:colOff>
      <xdr:row>47</xdr:row>
      <xdr:rowOff>161925</xdr:rowOff>
    </xdr:to>
    <xdr:sp>
      <xdr:nvSpPr>
        <xdr:cNvPr id="420" name="Line 773"/>
        <xdr:cNvSpPr>
          <a:spLocks/>
        </xdr:cNvSpPr>
      </xdr:nvSpPr>
      <xdr:spPr>
        <a:xfrm flipV="1">
          <a:off x="4800600" y="69913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85725</xdr:colOff>
      <xdr:row>50</xdr:row>
      <xdr:rowOff>28575</xdr:rowOff>
    </xdr:from>
    <xdr:to>
      <xdr:col>29</xdr:col>
      <xdr:colOff>85725</xdr:colOff>
      <xdr:row>53</xdr:row>
      <xdr:rowOff>152400</xdr:rowOff>
    </xdr:to>
    <xdr:sp>
      <xdr:nvSpPr>
        <xdr:cNvPr id="421" name="Line 774"/>
        <xdr:cNvSpPr>
          <a:spLocks/>
        </xdr:cNvSpPr>
      </xdr:nvSpPr>
      <xdr:spPr>
        <a:xfrm>
          <a:off x="4781550" y="822007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53</xdr:row>
      <xdr:rowOff>142875</xdr:rowOff>
    </xdr:from>
    <xdr:to>
      <xdr:col>30</xdr:col>
      <xdr:colOff>19050</xdr:colOff>
      <xdr:row>53</xdr:row>
      <xdr:rowOff>142875</xdr:rowOff>
    </xdr:to>
    <xdr:sp>
      <xdr:nvSpPr>
        <xdr:cNvPr id="422" name="Line 775"/>
        <xdr:cNvSpPr>
          <a:spLocks/>
        </xdr:cNvSpPr>
      </xdr:nvSpPr>
      <xdr:spPr>
        <a:xfrm>
          <a:off x="4705350" y="88773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xdr:colOff>
      <xdr:row>53</xdr:row>
      <xdr:rowOff>133350</xdr:rowOff>
    </xdr:from>
    <xdr:to>
      <xdr:col>28</xdr:col>
      <xdr:colOff>95250</xdr:colOff>
      <xdr:row>61</xdr:row>
      <xdr:rowOff>152400</xdr:rowOff>
    </xdr:to>
    <xdr:sp>
      <xdr:nvSpPr>
        <xdr:cNvPr id="423" name="Line 776"/>
        <xdr:cNvSpPr>
          <a:spLocks/>
        </xdr:cNvSpPr>
      </xdr:nvSpPr>
      <xdr:spPr>
        <a:xfrm>
          <a:off x="4629150" y="8867775"/>
          <a:ext cx="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76200</xdr:colOff>
      <xdr:row>43</xdr:row>
      <xdr:rowOff>0</xdr:rowOff>
    </xdr:from>
    <xdr:to>
      <xdr:col>28</xdr:col>
      <xdr:colOff>76200</xdr:colOff>
      <xdr:row>51</xdr:row>
      <xdr:rowOff>38100</xdr:rowOff>
    </xdr:to>
    <xdr:sp>
      <xdr:nvSpPr>
        <xdr:cNvPr id="424" name="Line 777"/>
        <xdr:cNvSpPr>
          <a:spLocks/>
        </xdr:cNvSpPr>
      </xdr:nvSpPr>
      <xdr:spPr>
        <a:xfrm flipV="1">
          <a:off x="4610100" y="7000875"/>
          <a:ext cx="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43</xdr:row>
      <xdr:rowOff>0</xdr:rowOff>
    </xdr:from>
    <xdr:to>
      <xdr:col>29</xdr:col>
      <xdr:colOff>142875</xdr:colOff>
      <xdr:row>43</xdr:row>
      <xdr:rowOff>0</xdr:rowOff>
    </xdr:to>
    <xdr:sp>
      <xdr:nvSpPr>
        <xdr:cNvPr id="425" name="Line 778"/>
        <xdr:cNvSpPr>
          <a:spLocks/>
        </xdr:cNvSpPr>
      </xdr:nvSpPr>
      <xdr:spPr>
        <a:xfrm>
          <a:off x="4486275" y="70008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61</xdr:row>
      <xdr:rowOff>142875</xdr:rowOff>
    </xdr:from>
    <xdr:to>
      <xdr:col>30</xdr:col>
      <xdr:colOff>76200</xdr:colOff>
      <xdr:row>61</xdr:row>
      <xdr:rowOff>142875</xdr:rowOff>
    </xdr:to>
    <xdr:sp>
      <xdr:nvSpPr>
        <xdr:cNvPr id="426" name="Line 779"/>
        <xdr:cNvSpPr>
          <a:spLocks/>
        </xdr:cNvSpPr>
      </xdr:nvSpPr>
      <xdr:spPr>
        <a:xfrm>
          <a:off x="4562475" y="10306050"/>
          <a:ext cx="371475"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64</xdr:row>
      <xdr:rowOff>9525</xdr:rowOff>
    </xdr:from>
    <xdr:to>
      <xdr:col>11</xdr:col>
      <xdr:colOff>133350</xdr:colOff>
      <xdr:row>64</xdr:row>
      <xdr:rowOff>9525</xdr:rowOff>
    </xdr:to>
    <xdr:sp>
      <xdr:nvSpPr>
        <xdr:cNvPr id="427" name="Line 784"/>
        <xdr:cNvSpPr>
          <a:spLocks/>
        </xdr:cNvSpPr>
      </xdr:nvSpPr>
      <xdr:spPr>
        <a:xfrm flipH="1">
          <a:off x="0" y="1071562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70</xdr:row>
      <xdr:rowOff>28575</xdr:rowOff>
    </xdr:from>
    <xdr:to>
      <xdr:col>1</xdr:col>
      <xdr:colOff>85725</xdr:colOff>
      <xdr:row>72</xdr:row>
      <xdr:rowOff>19050</xdr:rowOff>
    </xdr:to>
    <xdr:sp>
      <xdr:nvSpPr>
        <xdr:cNvPr id="428" name="Line 785"/>
        <xdr:cNvSpPr>
          <a:spLocks/>
        </xdr:cNvSpPr>
      </xdr:nvSpPr>
      <xdr:spPr>
        <a:xfrm>
          <a:off x="247650" y="117729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64</xdr:row>
      <xdr:rowOff>19050</xdr:rowOff>
    </xdr:from>
    <xdr:to>
      <xdr:col>1</xdr:col>
      <xdr:colOff>85725</xdr:colOff>
      <xdr:row>67</xdr:row>
      <xdr:rowOff>47625</xdr:rowOff>
    </xdr:to>
    <xdr:sp>
      <xdr:nvSpPr>
        <xdr:cNvPr id="429" name="Line 786"/>
        <xdr:cNvSpPr>
          <a:spLocks/>
        </xdr:cNvSpPr>
      </xdr:nvSpPr>
      <xdr:spPr>
        <a:xfrm flipV="1">
          <a:off x="247650" y="1072515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69</xdr:row>
      <xdr:rowOff>85725</xdr:rowOff>
    </xdr:from>
    <xdr:to>
      <xdr:col>19</xdr:col>
      <xdr:colOff>38100</xdr:colOff>
      <xdr:row>70</xdr:row>
      <xdr:rowOff>66675</xdr:rowOff>
    </xdr:to>
    <xdr:sp>
      <xdr:nvSpPr>
        <xdr:cNvPr id="430" name="Line 791"/>
        <xdr:cNvSpPr>
          <a:spLocks/>
        </xdr:cNvSpPr>
      </xdr:nvSpPr>
      <xdr:spPr>
        <a:xfrm flipV="1">
          <a:off x="3114675" y="116681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69</xdr:row>
      <xdr:rowOff>38100</xdr:rowOff>
    </xdr:from>
    <xdr:to>
      <xdr:col>16</xdr:col>
      <xdr:colOff>104775</xdr:colOff>
      <xdr:row>70</xdr:row>
      <xdr:rowOff>57150</xdr:rowOff>
    </xdr:to>
    <xdr:sp>
      <xdr:nvSpPr>
        <xdr:cNvPr id="431" name="Line 792"/>
        <xdr:cNvSpPr>
          <a:spLocks/>
        </xdr:cNvSpPr>
      </xdr:nvSpPr>
      <xdr:spPr>
        <a:xfrm flipV="1">
          <a:off x="2695575" y="116205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69</xdr:row>
      <xdr:rowOff>38100</xdr:rowOff>
    </xdr:from>
    <xdr:to>
      <xdr:col>17</xdr:col>
      <xdr:colOff>114300</xdr:colOff>
      <xdr:row>70</xdr:row>
      <xdr:rowOff>57150</xdr:rowOff>
    </xdr:to>
    <xdr:sp>
      <xdr:nvSpPr>
        <xdr:cNvPr id="432" name="Line 793"/>
        <xdr:cNvSpPr>
          <a:spLocks/>
        </xdr:cNvSpPr>
      </xdr:nvSpPr>
      <xdr:spPr>
        <a:xfrm flipV="1">
          <a:off x="2867025" y="116205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70</xdr:row>
      <xdr:rowOff>66675</xdr:rowOff>
    </xdr:from>
    <xdr:to>
      <xdr:col>19</xdr:col>
      <xdr:colOff>28575</xdr:colOff>
      <xdr:row>70</xdr:row>
      <xdr:rowOff>66675</xdr:rowOff>
    </xdr:to>
    <xdr:sp>
      <xdr:nvSpPr>
        <xdr:cNvPr id="433" name="Line 794"/>
        <xdr:cNvSpPr>
          <a:spLocks/>
        </xdr:cNvSpPr>
      </xdr:nvSpPr>
      <xdr:spPr>
        <a:xfrm>
          <a:off x="2686050" y="118110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71</xdr:row>
      <xdr:rowOff>9525</xdr:rowOff>
    </xdr:from>
    <xdr:to>
      <xdr:col>13</xdr:col>
      <xdr:colOff>114300</xdr:colOff>
      <xdr:row>71</xdr:row>
      <xdr:rowOff>57150</xdr:rowOff>
    </xdr:to>
    <xdr:sp>
      <xdr:nvSpPr>
        <xdr:cNvPr id="434" name="Arc 801"/>
        <xdr:cNvSpPr>
          <a:spLocks/>
        </xdr:cNvSpPr>
      </xdr:nvSpPr>
      <xdr:spPr>
        <a:xfrm>
          <a:off x="2181225" y="1191577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76</xdr:row>
      <xdr:rowOff>85725</xdr:rowOff>
    </xdr:from>
    <xdr:to>
      <xdr:col>12</xdr:col>
      <xdr:colOff>142875</xdr:colOff>
      <xdr:row>76</xdr:row>
      <xdr:rowOff>85725</xdr:rowOff>
    </xdr:to>
    <xdr:sp>
      <xdr:nvSpPr>
        <xdr:cNvPr id="435" name="Line 803"/>
        <xdr:cNvSpPr>
          <a:spLocks/>
        </xdr:cNvSpPr>
      </xdr:nvSpPr>
      <xdr:spPr>
        <a:xfrm flipH="1">
          <a:off x="1952625" y="12801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76</xdr:row>
      <xdr:rowOff>95250</xdr:rowOff>
    </xdr:from>
    <xdr:to>
      <xdr:col>16</xdr:col>
      <xdr:colOff>0</xdr:colOff>
      <xdr:row>76</xdr:row>
      <xdr:rowOff>95250</xdr:rowOff>
    </xdr:to>
    <xdr:sp>
      <xdr:nvSpPr>
        <xdr:cNvPr id="436" name="Line 804"/>
        <xdr:cNvSpPr>
          <a:spLocks/>
        </xdr:cNvSpPr>
      </xdr:nvSpPr>
      <xdr:spPr>
        <a:xfrm>
          <a:off x="2438400" y="128111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76</xdr:row>
      <xdr:rowOff>47625</xdr:rowOff>
    </xdr:from>
    <xdr:to>
      <xdr:col>12</xdr:col>
      <xdr:colOff>9525</xdr:colOff>
      <xdr:row>76</xdr:row>
      <xdr:rowOff>123825</xdr:rowOff>
    </xdr:to>
    <xdr:sp>
      <xdr:nvSpPr>
        <xdr:cNvPr id="437" name="Line 805"/>
        <xdr:cNvSpPr>
          <a:spLocks/>
        </xdr:cNvSpPr>
      </xdr:nvSpPr>
      <xdr:spPr>
        <a:xfrm>
          <a:off x="1952625" y="127635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76</xdr:row>
      <xdr:rowOff>38100</xdr:rowOff>
    </xdr:from>
    <xdr:to>
      <xdr:col>16</xdr:col>
      <xdr:colOff>0</xdr:colOff>
      <xdr:row>76</xdr:row>
      <xdr:rowOff>142875</xdr:rowOff>
    </xdr:to>
    <xdr:sp>
      <xdr:nvSpPr>
        <xdr:cNvPr id="438" name="Line 807"/>
        <xdr:cNvSpPr>
          <a:spLocks/>
        </xdr:cNvSpPr>
      </xdr:nvSpPr>
      <xdr:spPr>
        <a:xfrm>
          <a:off x="2590800" y="127539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75</xdr:row>
      <xdr:rowOff>76200</xdr:rowOff>
    </xdr:from>
    <xdr:to>
      <xdr:col>18</xdr:col>
      <xdr:colOff>47625</xdr:colOff>
      <xdr:row>75</xdr:row>
      <xdr:rowOff>76200</xdr:rowOff>
    </xdr:to>
    <xdr:sp>
      <xdr:nvSpPr>
        <xdr:cNvPr id="439" name="Line 809"/>
        <xdr:cNvSpPr>
          <a:spLocks/>
        </xdr:cNvSpPr>
      </xdr:nvSpPr>
      <xdr:spPr>
        <a:xfrm flipH="1">
          <a:off x="2590800" y="1263015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75</xdr:row>
      <xdr:rowOff>76200</xdr:rowOff>
    </xdr:from>
    <xdr:to>
      <xdr:col>23</xdr:col>
      <xdr:colOff>0</xdr:colOff>
      <xdr:row>75</xdr:row>
      <xdr:rowOff>76200</xdr:rowOff>
    </xdr:to>
    <xdr:sp>
      <xdr:nvSpPr>
        <xdr:cNvPr id="440" name="Line 810"/>
        <xdr:cNvSpPr>
          <a:spLocks/>
        </xdr:cNvSpPr>
      </xdr:nvSpPr>
      <xdr:spPr>
        <a:xfrm>
          <a:off x="3371850" y="126301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75</xdr:row>
      <xdr:rowOff>19050</xdr:rowOff>
    </xdr:from>
    <xdr:to>
      <xdr:col>23</xdr:col>
      <xdr:colOff>0</xdr:colOff>
      <xdr:row>75</xdr:row>
      <xdr:rowOff>123825</xdr:rowOff>
    </xdr:to>
    <xdr:sp>
      <xdr:nvSpPr>
        <xdr:cNvPr id="441" name="Line 811"/>
        <xdr:cNvSpPr>
          <a:spLocks/>
        </xdr:cNvSpPr>
      </xdr:nvSpPr>
      <xdr:spPr>
        <a:xfrm>
          <a:off x="3724275" y="125730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47625</xdr:rowOff>
    </xdr:from>
    <xdr:to>
      <xdr:col>6</xdr:col>
      <xdr:colOff>0</xdr:colOff>
      <xdr:row>75</xdr:row>
      <xdr:rowOff>142875</xdr:rowOff>
    </xdr:to>
    <xdr:sp>
      <xdr:nvSpPr>
        <xdr:cNvPr id="442" name="Line 812"/>
        <xdr:cNvSpPr>
          <a:spLocks/>
        </xdr:cNvSpPr>
      </xdr:nvSpPr>
      <xdr:spPr>
        <a:xfrm>
          <a:off x="971550" y="126015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85725</xdr:rowOff>
    </xdr:from>
    <xdr:to>
      <xdr:col>7</xdr:col>
      <xdr:colOff>47625</xdr:colOff>
      <xdr:row>75</xdr:row>
      <xdr:rowOff>85725</xdr:rowOff>
    </xdr:to>
    <xdr:sp>
      <xdr:nvSpPr>
        <xdr:cNvPr id="443" name="Line 813"/>
        <xdr:cNvSpPr>
          <a:spLocks/>
        </xdr:cNvSpPr>
      </xdr:nvSpPr>
      <xdr:spPr>
        <a:xfrm flipH="1">
          <a:off x="971550" y="12639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75</xdr:row>
      <xdr:rowOff>85725</xdr:rowOff>
    </xdr:from>
    <xdr:to>
      <xdr:col>11</xdr:col>
      <xdr:colOff>142875</xdr:colOff>
      <xdr:row>75</xdr:row>
      <xdr:rowOff>85725</xdr:rowOff>
    </xdr:to>
    <xdr:sp>
      <xdr:nvSpPr>
        <xdr:cNvPr id="444" name="Line 814"/>
        <xdr:cNvSpPr>
          <a:spLocks/>
        </xdr:cNvSpPr>
      </xdr:nvSpPr>
      <xdr:spPr>
        <a:xfrm>
          <a:off x="1600200" y="1263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3</xdr:row>
      <xdr:rowOff>95250</xdr:rowOff>
    </xdr:from>
    <xdr:to>
      <xdr:col>25</xdr:col>
      <xdr:colOff>19050</xdr:colOff>
      <xdr:row>3</xdr:row>
      <xdr:rowOff>133350</xdr:rowOff>
    </xdr:to>
    <xdr:sp>
      <xdr:nvSpPr>
        <xdr:cNvPr id="445" name="Line 853"/>
        <xdr:cNvSpPr>
          <a:spLocks/>
        </xdr:cNvSpPr>
      </xdr:nvSpPr>
      <xdr:spPr>
        <a:xfrm flipH="1">
          <a:off x="4048125" y="581025"/>
          <a:ext cx="1905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19050</xdr:rowOff>
    </xdr:from>
    <xdr:to>
      <xdr:col>15</xdr:col>
      <xdr:colOff>0</xdr:colOff>
      <xdr:row>4</xdr:row>
      <xdr:rowOff>0</xdr:rowOff>
    </xdr:to>
    <xdr:sp>
      <xdr:nvSpPr>
        <xdr:cNvPr id="446" name="Line 876"/>
        <xdr:cNvSpPr>
          <a:spLocks/>
        </xdr:cNvSpPr>
      </xdr:nvSpPr>
      <xdr:spPr>
        <a:xfrm flipV="1">
          <a:off x="1619250" y="180975"/>
          <a:ext cx="8096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142875</xdr:colOff>
      <xdr:row>1</xdr:row>
      <xdr:rowOff>19050</xdr:rowOff>
    </xdr:from>
    <xdr:to>
      <xdr:col>15</xdr:col>
      <xdr:colOff>19050</xdr:colOff>
      <xdr:row>1</xdr:row>
      <xdr:rowOff>85725</xdr:rowOff>
    </xdr:to>
    <xdr:sp>
      <xdr:nvSpPr>
        <xdr:cNvPr id="447" name="Line 877"/>
        <xdr:cNvSpPr>
          <a:spLocks/>
        </xdr:cNvSpPr>
      </xdr:nvSpPr>
      <xdr:spPr>
        <a:xfrm>
          <a:off x="2409825" y="1809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104775</xdr:colOff>
      <xdr:row>1</xdr:row>
      <xdr:rowOff>57150</xdr:rowOff>
    </xdr:from>
    <xdr:to>
      <xdr:col>14</xdr:col>
      <xdr:colOff>123825</xdr:colOff>
      <xdr:row>1</xdr:row>
      <xdr:rowOff>133350</xdr:rowOff>
    </xdr:to>
    <xdr:sp>
      <xdr:nvSpPr>
        <xdr:cNvPr id="448" name="Line 878"/>
        <xdr:cNvSpPr>
          <a:spLocks/>
        </xdr:cNvSpPr>
      </xdr:nvSpPr>
      <xdr:spPr>
        <a:xfrm>
          <a:off x="2371725" y="219075"/>
          <a:ext cx="190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xdr:row>
      <xdr:rowOff>104775</xdr:rowOff>
    </xdr:from>
    <xdr:to>
      <xdr:col>14</xdr:col>
      <xdr:colOff>57150</xdr:colOff>
      <xdr:row>1</xdr:row>
      <xdr:rowOff>152400</xdr:rowOff>
    </xdr:to>
    <xdr:sp>
      <xdr:nvSpPr>
        <xdr:cNvPr id="449" name="Line 879"/>
        <xdr:cNvSpPr>
          <a:spLocks/>
        </xdr:cNvSpPr>
      </xdr:nvSpPr>
      <xdr:spPr>
        <a:xfrm>
          <a:off x="2295525" y="2667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xdr:row>
      <xdr:rowOff>133350</xdr:rowOff>
    </xdr:from>
    <xdr:to>
      <xdr:col>13</xdr:col>
      <xdr:colOff>152400</xdr:colOff>
      <xdr:row>2</xdr:row>
      <xdr:rowOff>38100</xdr:rowOff>
    </xdr:to>
    <xdr:sp>
      <xdr:nvSpPr>
        <xdr:cNvPr id="450" name="Line 880"/>
        <xdr:cNvSpPr>
          <a:spLocks/>
        </xdr:cNvSpPr>
      </xdr:nvSpPr>
      <xdr:spPr>
        <a:xfrm>
          <a:off x="2219325" y="2952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xdr:row>
      <xdr:rowOff>19050</xdr:rowOff>
    </xdr:from>
    <xdr:to>
      <xdr:col>13</xdr:col>
      <xdr:colOff>76200</xdr:colOff>
      <xdr:row>2</xdr:row>
      <xdr:rowOff>76200</xdr:rowOff>
    </xdr:to>
    <xdr:sp>
      <xdr:nvSpPr>
        <xdr:cNvPr id="451" name="Line 881"/>
        <xdr:cNvSpPr>
          <a:spLocks/>
        </xdr:cNvSpPr>
      </xdr:nvSpPr>
      <xdr:spPr>
        <a:xfrm>
          <a:off x="2143125" y="3429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142875</xdr:colOff>
      <xdr:row>2</xdr:row>
      <xdr:rowOff>57150</xdr:rowOff>
    </xdr:from>
    <xdr:to>
      <xdr:col>13</xdr:col>
      <xdr:colOff>19050</xdr:colOff>
      <xdr:row>2</xdr:row>
      <xdr:rowOff>114300</xdr:rowOff>
    </xdr:to>
    <xdr:sp>
      <xdr:nvSpPr>
        <xdr:cNvPr id="452" name="Line 882"/>
        <xdr:cNvSpPr>
          <a:spLocks/>
        </xdr:cNvSpPr>
      </xdr:nvSpPr>
      <xdr:spPr>
        <a:xfrm>
          <a:off x="2085975" y="3810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2</xdr:row>
      <xdr:rowOff>85725</xdr:rowOff>
    </xdr:from>
    <xdr:to>
      <xdr:col>12</xdr:col>
      <xdr:colOff>104775</xdr:colOff>
      <xdr:row>2</xdr:row>
      <xdr:rowOff>133350</xdr:rowOff>
    </xdr:to>
    <xdr:sp>
      <xdr:nvSpPr>
        <xdr:cNvPr id="453" name="Line 883"/>
        <xdr:cNvSpPr>
          <a:spLocks/>
        </xdr:cNvSpPr>
      </xdr:nvSpPr>
      <xdr:spPr>
        <a:xfrm>
          <a:off x="2019300" y="4095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12</xdr:col>
      <xdr:colOff>76200</xdr:colOff>
      <xdr:row>3</xdr:row>
      <xdr:rowOff>19050</xdr:rowOff>
    </xdr:to>
    <xdr:sp>
      <xdr:nvSpPr>
        <xdr:cNvPr id="454" name="Line 884"/>
        <xdr:cNvSpPr>
          <a:spLocks/>
        </xdr:cNvSpPr>
      </xdr:nvSpPr>
      <xdr:spPr>
        <a:xfrm>
          <a:off x="1962150"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xdr:row>
      <xdr:rowOff>0</xdr:rowOff>
    </xdr:from>
    <xdr:to>
      <xdr:col>11</xdr:col>
      <xdr:colOff>142875</xdr:colOff>
      <xdr:row>3</xdr:row>
      <xdr:rowOff>85725</xdr:rowOff>
    </xdr:to>
    <xdr:sp>
      <xdr:nvSpPr>
        <xdr:cNvPr id="455" name="Line 885"/>
        <xdr:cNvSpPr>
          <a:spLocks/>
        </xdr:cNvSpPr>
      </xdr:nvSpPr>
      <xdr:spPr>
        <a:xfrm>
          <a:off x="1876425" y="48577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xdr:row>
      <xdr:rowOff>47625</xdr:rowOff>
    </xdr:from>
    <xdr:to>
      <xdr:col>11</xdr:col>
      <xdr:colOff>19050</xdr:colOff>
      <xdr:row>3</xdr:row>
      <xdr:rowOff>95250</xdr:rowOff>
    </xdr:to>
    <xdr:sp>
      <xdr:nvSpPr>
        <xdr:cNvPr id="456" name="Line 886"/>
        <xdr:cNvSpPr>
          <a:spLocks/>
        </xdr:cNvSpPr>
      </xdr:nvSpPr>
      <xdr:spPr>
        <a:xfrm>
          <a:off x="1771650" y="5334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3</xdr:row>
      <xdr:rowOff>104775</xdr:rowOff>
    </xdr:from>
    <xdr:to>
      <xdr:col>10</xdr:col>
      <xdr:colOff>142875</xdr:colOff>
      <xdr:row>4</xdr:row>
      <xdr:rowOff>0</xdr:rowOff>
    </xdr:to>
    <xdr:sp>
      <xdr:nvSpPr>
        <xdr:cNvPr id="457" name="Line 887"/>
        <xdr:cNvSpPr>
          <a:spLocks/>
        </xdr:cNvSpPr>
      </xdr:nvSpPr>
      <xdr:spPr>
        <a:xfrm>
          <a:off x="1733550" y="59055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xdr:row>
      <xdr:rowOff>19050</xdr:rowOff>
    </xdr:from>
    <xdr:to>
      <xdr:col>32</xdr:col>
      <xdr:colOff>0</xdr:colOff>
      <xdr:row>4</xdr:row>
      <xdr:rowOff>0</xdr:rowOff>
    </xdr:to>
    <xdr:sp>
      <xdr:nvSpPr>
        <xdr:cNvPr id="458" name="Line 888"/>
        <xdr:cNvSpPr>
          <a:spLocks/>
        </xdr:cNvSpPr>
      </xdr:nvSpPr>
      <xdr:spPr>
        <a:xfrm flipV="1">
          <a:off x="4371975" y="180975"/>
          <a:ext cx="8096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142875</xdr:colOff>
      <xdr:row>1</xdr:row>
      <xdr:rowOff>19050</xdr:rowOff>
    </xdr:from>
    <xdr:to>
      <xdr:col>32</xdr:col>
      <xdr:colOff>19050</xdr:colOff>
      <xdr:row>1</xdr:row>
      <xdr:rowOff>85725</xdr:rowOff>
    </xdr:to>
    <xdr:sp>
      <xdr:nvSpPr>
        <xdr:cNvPr id="459" name="Line 889"/>
        <xdr:cNvSpPr>
          <a:spLocks/>
        </xdr:cNvSpPr>
      </xdr:nvSpPr>
      <xdr:spPr>
        <a:xfrm>
          <a:off x="5162550" y="1809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104775</xdr:colOff>
      <xdr:row>1</xdr:row>
      <xdr:rowOff>57150</xdr:rowOff>
    </xdr:from>
    <xdr:to>
      <xdr:col>31</xdr:col>
      <xdr:colOff>123825</xdr:colOff>
      <xdr:row>1</xdr:row>
      <xdr:rowOff>133350</xdr:rowOff>
    </xdr:to>
    <xdr:sp>
      <xdr:nvSpPr>
        <xdr:cNvPr id="460" name="Line 890"/>
        <xdr:cNvSpPr>
          <a:spLocks/>
        </xdr:cNvSpPr>
      </xdr:nvSpPr>
      <xdr:spPr>
        <a:xfrm>
          <a:off x="5124450" y="219075"/>
          <a:ext cx="190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xdr:colOff>
      <xdr:row>1</xdr:row>
      <xdr:rowOff>104775</xdr:rowOff>
    </xdr:from>
    <xdr:to>
      <xdr:col>31</xdr:col>
      <xdr:colOff>57150</xdr:colOff>
      <xdr:row>1</xdr:row>
      <xdr:rowOff>152400</xdr:rowOff>
    </xdr:to>
    <xdr:sp>
      <xdr:nvSpPr>
        <xdr:cNvPr id="461" name="Line 891"/>
        <xdr:cNvSpPr>
          <a:spLocks/>
        </xdr:cNvSpPr>
      </xdr:nvSpPr>
      <xdr:spPr>
        <a:xfrm>
          <a:off x="5048250" y="2667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114300</xdr:colOff>
      <xdr:row>1</xdr:row>
      <xdr:rowOff>133350</xdr:rowOff>
    </xdr:from>
    <xdr:to>
      <xdr:col>30</xdr:col>
      <xdr:colOff>152400</xdr:colOff>
      <xdr:row>2</xdr:row>
      <xdr:rowOff>38100</xdr:rowOff>
    </xdr:to>
    <xdr:sp>
      <xdr:nvSpPr>
        <xdr:cNvPr id="462" name="Line 892"/>
        <xdr:cNvSpPr>
          <a:spLocks/>
        </xdr:cNvSpPr>
      </xdr:nvSpPr>
      <xdr:spPr>
        <a:xfrm>
          <a:off x="4972050" y="2952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38100</xdr:colOff>
      <xdr:row>2</xdr:row>
      <xdr:rowOff>19050</xdr:rowOff>
    </xdr:from>
    <xdr:to>
      <xdr:col>30</xdr:col>
      <xdr:colOff>76200</xdr:colOff>
      <xdr:row>2</xdr:row>
      <xdr:rowOff>76200</xdr:rowOff>
    </xdr:to>
    <xdr:sp>
      <xdr:nvSpPr>
        <xdr:cNvPr id="463" name="Line 893"/>
        <xdr:cNvSpPr>
          <a:spLocks/>
        </xdr:cNvSpPr>
      </xdr:nvSpPr>
      <xdr:spPr>
        <a:xfrm>
          <a:off x="4895850" y="3429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142875</xdr:colOff>
      <xdr:row>2</xdr:row>
      <xdr:rowOff>57150</xdr:rowOff>
    </xdr:from>
    <xdr:to>
      <xdr:col>30</xdr:col>
      <xdr:colOff>19050</xdr:colOff>
      <xdr:row>2</xdr:row>
      <xdr:rowOff>114300</xdr:rowOff>
    </xdr:to>
    <xdr:sp>
      <xdr:nvSpPr>
        <xdr:cNvPr id="464" name="Line 894"/>
        <xdr:cNvSpPr>
          <a:spLocks/>
        </xdr:cNvSpPr>
      </xdr:nvSpPr>
      <xdr:spPr>
        <a:xfrm>
          <a:off x="4838700" y="3810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76200</xdr:colOff>
      <xdr:row>2</xdr:row>
      <xdr:rowOff>85725</xdr:rowOff>
    </xdr:from>
    <xdr:to>
      <xdr:col>29</xdr:col>
      <xdr:colOff>104775</xdr:colOff>
      <xdr:row>2</xdr:row>
      <xdr:rowOff>133350</xdr:rowOff>
    </xdr:to>
    <xdr:sp>
      <xdr:nvSpPr>
        <xdr:cNvPr id="465" name="Line 895"/>
        <xdr:cNvSpPr>
          <a:spLocks/>
        </xdr:cNvSpPr>
      </xdr:nvSpPr>
      <xdr:spPr>
        <a:xfrm>
          <a:off x="4772025" y="4095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2</xdr:row>
      <xdr:rowOff>123825</xdr:rowOff>
    </xdr:from>
    <xdr:to>
      <xdr:col>29</xdr:col>
      <xdr:colOff>76200</xdr:colOff>
      <xdr:row>3</xdr:row>
      <xdr:rowOff>19050</xdr:rowOff>
    </xdr:to>
    <xdr:sp>
      <xdr:nvSpPr>
        <xdr:cNvPr id="466" name="Line 896"/>
        <xdr:cNvSpPr>
          <a:spLocks/>
        </xdr:cNvSpPr>
      </xdr:nvSpPr>
      <xdr:spPr>
        <a:xfrm>
          <a:off x="4714875"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xdr:colOff>
      <xdr:row>3</xdr:row>
      <xdr:rowOff>0</xdr:rowOff>
    </xdr:from>
    <xdr:to>
      <xdr:col>28</xdr:col>
      <xdr:colOff>142875</xdr:colOff>
      <xdr:row>3</xdr:row>
      <xdr:rowOff>85725</xdr:rowOff>
    </xdr:to>
    <xdr:sp>
      <xdr:nvSpPr>
        <xdr:cNvPr id="467" name="Line 897"/>
        <xdr:cNvSpPr>
          <a:spLocks/>
        </xdr:cNvSpPr>
      </xdr:nvSpPr>
      <xdr:spPr>
        <a:xfrm>
          <a:off x="4629150" y="48577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152400</xdr:colOff>
      <xdr:row>3</xdr:row>
      <xdr:rowOff>47625</xdr:rowOff>
    </xdr:from>
    <xdr:to>
      <xdr:col>28</xdr:col>
      <xdr:colOff>19050</xdr:colOff>
      <xdr:row>3</xdr:row>
      <xdr:rowOff>95250</xdr:rowOff>
    </xdr:to>
    <xdr:sp>
      <xdr:nvSpPr>
        <xdr:cNvPr id="468" name="Line 898"/>
        <xdr:cNvSpPr>
          <a:spLocks/>
        </xdr:cNvSpPr>
      </xdr:nvSpPr>
      <xdr:spPr>
        <a:xfrm>
          <a:off x="4524375" y="5334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3</xdr:row>
      <xdr:rowOff>104775</xdr:rowOff>
    </xdr:from>
    <xdr:to>
      <xdr:col>27</xdr:col>
      <xdr:colOff>142875</xdr:colOff>
      <xdr:row>4</xdr:row>
      <xdr:rowOff>0</xdr:rowOff>
    </xdr:to>
    <xdr:sp>
      <xdr:nvSpPr>
        <xdr:cNvPr id="469" name="Line 899"/>
        <xdr:cNvSpPr>
          <a:spLocks/>
        </xdr:cNvSpPr>
      </xdr:nvSpPr>
      <xdr:spPr>
        <a:xfrm>
          <a:off x="4486275" y="59055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1</xdr:row>
      <xdr:rowOff>19050</xdr:rowOff>
    </xdr:from>
    <xdr:to>
      <xdr:col>49</xdr:col>
      <xdr:colOff>0</xdr:colOff>
      <xdr:row>4</xdr:row>
      <xdr:rowOff>0</xdr:rowOff>
    </xdr:to>
    <xdr:sp>
      <xdr:nvSpPr>
        <xdr:cNvPr id="470" name="Line 900"/>
        <xdr:cNvSpPr>
          <a:spLocks/>
        </xdr:cNvSpPr>
      </xdr:nvSpPr>
      <xdr:spPr>
        <a:xfrm flipV="1">
          <a:off x="7124700" y="180975"/>
          <a:ext cx="8096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142875</xdr:colOff>
      <xdr:row>1</xdr:row>
      <xdr:rowOff>19050</xdr:rowOff>
    </xdr:from>
    <xdr:to>
      <xdr:col>49</xdr:col>
      <xdr:colOff>19050</xdr:colOff>
      <xdr:row>1</xdr:row>
      <xdr:rowOff>85725</xdr:rowOff>
    </xdr:to>
    <xdr:sp>
      <xdr:nvSpPr>
        <xdr:cNvPr id="471" name="Line 901"/>
        <xdr:cNvSpPr>
          <a:spLocks/>
        </xdr:cNvSpPr>
      </xdr:nvSpPr>
      <xdr:spPr>
        <a:xfrm>
          <a:off x="7915275" y="1809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104775</xdr:colOff>
      <xdr:row>1</xdr:row>
      <xdr:rowOff>57150</xdr:rowOff>
    </xdr:from>
    <xdr:to>
      <xdr:col>48</xdr:col>
      <xdr:colOff>123825</xdr:colOff>
      <xdr:row>1</xdr:row>
      <xdr:rowOff>133350</xdr:rowOff>
    </xdr:to>
    <xdr:sp>
      <xdr:nvSpPr>
        <xdr:cNvPr id="472" name="Line 902"/>
        <xdr:cNvSpPr>
          <a:spLocks/>
        </xdr:cNvSpPr>
      </xdr:nvSpPr>
      <xdr:spPr>
        <a:xfrm>
          <a:off x="7877175" y="219075"/>
          <a:ext cx="190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28575</xdr:colOff>
      <xdr:row>1</xdr:row>
      <xdr:rowOff>104775</xdr:rowOff>
    </xdr:from>
    <xdr:to>
      <xdr:col>48</xdr:col>
      <xdr:colOff>57150</xdr:colOff>
      <xdr:row>1</xdr:row>
      <xdr:rowOff>152400</xdr:rowOff>
    </xdr:to>
    <xdr:sp>
      <xdr:nvSpPr>
        <xdr:cNvPr id="473" name="Line 903"/>
        <xdr:cNvSpPr>
          <a:spLocks/>
        </xdr:cNvSpPr>
      </xdr:nvSpPr>
      <xdr:spPr>
        <a:xfrm>
          <a:off x="7800975" y="2667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114300</xdr:colOff>
      <xdr:row>1</xdr:row>
      <xdr:rowOff>133350</xdr:rowOff>
    </xdr:from>
    <xdr:to>
      <xdr:col>47</xdr:col>
      <xdr:colOff>152400</xdr:colOff>
      <xdr:row>2</xdr:row>
      <xdr:rowOff>38100</xdr:rowOff>
    </xdr:to>
    <xdr:sp>
      <xdr:nvSpPr>
        <xdr:cNvPr id="474" name="Line 904"/>
        <xdr:cNvSpPr>
          <a:spLocks/>
        </xdr:cNvSpPr>
      </xdr:nvSpPr>
      <xdr:spPr>
        <a:xfrm>
          <a:off x="7724775" y="29527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38100</xdr:colOff>
      <xdr:row>2</xdr:row>
      <xdr:rowOff>19050</xdr:rowOff>
    </xdr:from>
    <xdr:to>
      <xdr:col>47</xdr:col>
      <xdr:colOff>76200</xdr:colOff>
      <xdr:row>2</xdr:row>
      <xdr:rowOff>76200</xdr:rowOff>
    </xdr:to>
    <xdr:sp>
      <xdr:nvSpPr>
        <xdr:cNvPr id="475" name="Line 905"/>
        <xdr:cNvSpPr>
          <a:spLocks/>
        </xdr:cNvSpPr>
      </xdr:nvSpPr>
      <xdr:spPr>
        <a:xfrm>
          <a:off x="7648575" y="3429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142875</xdr:colOff>
      <xdr:row>2</xdr:row>
      <xdr:rowOff>57150</xdr:rowOff>
    </xdr:from>
    <xdr:to>
      <xdr:col>47</xdr:col>
      <xdr:colOff>19050</xdr:colOff>
      <xdr:row>2</xdr:row>
      <xdr:rowOff>114300</xdr:rowOff>
    </xdr:to>
    <xdr:sp>
      <xdr:nvSpPr>
        <xdr:cNvPr id="476" name="Line 906"/>
        <xdr:cNvSpPr>
          <a:spLocks/>
        </xdr:cNvSpPr>
      </xdr:nvSpPr>
      <xdr:spPr>
        <a:xfrm>
          <a:off x="7591425" y="3810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76200</xdr:colOff>
      <xdr:row>2</xdr:row>
      <xdr:rowOff>85725</xdr:rowOff>
    </xdr:from>
    <xdr:to>
      <xdr:col>46</xdr:col>
      <xdr:colOff>104775</xdr:colOff>
      <xdr:row>2</xdr:row>
      <xdr:rowOff>133350</xdr:rowOff>
    </xdr:to>
    <xdr:sp>
      <xdr:nvSpPr>
        <xdr:cNvPr id="477" name="Line 907"/>
        <xdr:cNvSpPr>
          <a:spLocks/>
        </xdr:cNvSpPr>
      </xdr:nvSpPr>
      <xdr:spPr>
        <a:xfrm>
          <a:off x="7524750" y="4095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xdr:row>
      <xdr:rowOff>123825</xdr:rowOff>
    </xdr:from>
    <xdr:to>
      <xdr:col>46</xdr:col>
      <xdr:colOff>76200</xdr:colOff>
      <xdr:row>3</xdr:row>
      <xdr:rowOff>19050</xdr:rowOff>
    </xdr:to>
    <xdr:sp>
      <xdr:nvSpPr>
        <xdr:cNvPr id="478" name="Line 908"/>
        <xdr:cNvSpPr>
          <a:spLocks/>
        </xdr:cNvSpPr>
      </xdr:nvSpPr>
      <xdr:spPr>
        <a:xfrm>
          <a:off x="7467600"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95250</xdr:colOff>
      <xdr:row>3</xdr:row>
      <xdr:rowOff>0</xdr:rowOff>
    </xdr:from>
    <xdr:to>
      <xdr:col>45</xdr:col>
      <xdr:colOff>142875</xdr:colOff>
      <xdr:row>3</xdr:row>
      <xdr:rowOff>85725</xdr:rowOff>
    </xdr:to>
    <xdr:sp>
      <xdr:nvSpPr>
        <xdr:cNvPr id="479" name="Line 909"/>
        <xdr:cNvSpPr>
          <a:spLocks/>
        </xdr:cNvSpPr>
      </xdr:nvSpPr>
      <xdr:spPr>
        <a:xfrm>
          <a:off x="7381875" y="485775"/>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152400</xdr:colOff>
      <xdr:row>3</xdr:row>
      <xdr:rowOff>47625</xdr:rowOff>
    </xdr:from>
    <xdr:to>
      <xdr:col>45</xdr:col>
      <xdr:colOff>19050</xdr:colOff>
      <xdr:row>3</xdr:row>
      <xdr:rowOff>95250</xdr:rowOff>
    </xdr:to>
    <xdr:sp>
      <xdr:nvSpPr>
        <xdr:cNvPr id="480" name="Line 910"/>
        <xdr:cNvSpPr>
          <a:spLocks/>
        </xdr:cNvSpPr>
      </xdr:nvSpPr>
      <xdr:spPr>
        <a:xfrm>
          <a:off x="7277100" y="5334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114300</xdr:colOff>
      <xdr:row>3</xdr:row>
      <xdr:rowOff>104775</xdr:rowOff>
    </xdr:from>
    <xdr:to>
      <xdr:col>44</xdr:col>
      <xdr:colOff>142875</xdr:colOff>
      <xdr:row>4</xdr:row>
      <xdr:rowOff>0</xdr:rowOff>
    </xdr:to>
    <xdr:sp>
      <xdr:nvSpPr>
        <xdr:cNvPr id="481" name="Line 911"/>
        <xdr:cNvSpPr>
          <a:spLocks/>
        </xdr:cNvSpPr>
      </xdr:nvSpPr>
      <xdr:spPr>
        <a:xfrm>
          <a:off x="7239000" y="59055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40</xdr:row>
      <xdr:rowOff>19050</xdr:rowOff>
    </xdr:from>
    <xdr:to>
      <xdr:col>20</xdr:col>
      <xdr:colOff>0</xdr:colOff>
      <xdr:row>43</xdr:row>
      <xdr:rowOff>0</xdr:rowOff>
    </xdr:to>
    <xdr:sp>
      <xdr:nvSpPr>
        <xdr:cNvPr id="482" name="Line 912"/>
        <xdr:cNvSpPr>
          <a:spLocks/>
        </xdr:cNvSpPr>
      </xdr:nvSpPr>
      <xdr:spPr>
        <a:xfrm flipV="1">
          <a:off x="2428875" y="6534150"/>
          <a:ext cx="8096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142875</xdr:colOff>
      <xdr:row>40</xdr:row>
      <xdr:rowOff>19050</xdr:rowOff>
    </xdr:from>
    <xdr:to>
      <xdr:col>20</xdr:col>
      <xdr:colOff>19050</xdr:colOff>
      <xdr:row>40</xdr:row>
      <xdr:rowOff>85725</xdr:rowOff>
    </xdr:to>
    <xdr:sp>
      <xdr:nvSpPr>
        <xdr:cNvPr id="483" name="Line 913"/>
        <xdr:cNvSpPr>
          <a:spLocks/>
        </xdr:cNvSpPr>
      </xdr:nvSpPr>
      <xdr:spPr>
        <a:xfrm>
          <a:off x="3219450" y="65341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104775</xdr:colOff>
      <xdr:row>40</xdr:row>
      <xdr:rowOff>57150</xdr:rowOff>
    </xdr:from>
    <xdr:to>
      <xdr:col>19</xdr:col>
      <xdr:colOff>123825</xdr:colOff>
      <xdr:row>40</xdr:row>
      <xdr:rowOff>133350</xdr:rowOff>
    </xdr:to>
    <xdr:sp>
      <xdr:nvSpPr>
        <xdr:cNvPr id="484" name="Line 914"/>
        <xdr:cNvSpPr>
          <a:spLocks/>
        </xdr:cNvSpPr>
      </xdr:nvSpPr>
      <xdr:spPr>
        <a:xfrm>
          <a:off x="3181350" y="6572250"/>
          <a:ext cx="190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40</xdr:row>
      <xdr:rowOff>104775</xdr:rowOff>
    </xdr:from>
    <xdr:to>
      <xdr:col>19</xdr:col>
      <xdr:colOff>57150</xdr:colOff>
      <xdr:row>40</xdr:row>
      <xdr:rowOff>152400</xdr:rowOff>
    </xdr:to>
    <xdr:sp>
      <xdr:nvSpPr>
        <xdr:cNvPr id="485" name="Line 915"/>
        <xdr:cNvSpPr>
          <a:spLocks/>
        </xdr:cNvSpPr>
      </xdr:nvSpPr>
      <xdr:spPr>
        <a:xfrm>
          <a:off x="3105150" y="66198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40</xdr:row>
      <xdr:rowOff>133350</xdr:rowOff>
    </xdr:from>
    <xdr:to>
      <xdr:col>18</xdr:col>
      <xdr:colOff>152400</xdr:colOff>
      <xdr:row>41</xdr:row>
      <xdr:rowOff>38100</xdr:rowOff>
    </xdr:to>
    <xdr:sp>
      <xdr:nvSpPr>
        <xdr:cNvPr id="486" name="Line 916"/>
        <xdr:cNvSpPr>
          <a:spLocks/>
        </xdr:cNvSpPr>
      </xdr:nvSpPr>
      <xdr:spPr>
        <a:xfrm>
          <a:off x="3028950" y="66484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41</xdr:row>
      <xdr:rowOff>19050</xdr:rowOff>
    </xdr:from>
    <xdr:to>
      <xdr:col>18</xdr:col>
      <xdr:colOff>76200</xdr:colOff>
      <xdr:row>41</xdr:row>
      <xdr:rowOff>76200</xdr:rowOff>
    </xdr:to>
    <xdr:sp>
      <xdr:nvSpPr>
        <xdr:cNvPr id="487" name="Line 917"/>
        <xdr:cNvSpPr>
          <a:spLocks/>
        </xdr:cNvSpPr>
      </xdr:nvSpPr>
      <xdr:spPr>
        <a:xfrm>
          <a:off x="2952750" y="669607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41</xdr:row>
      <xdr:rowOff>57150</xdr:rowOff>
    </xdr:from>
    <xdr:to>
      <xdr:col>18</xdr:col>
      <xdr:colOff>19050</xdr:colOff>
      <xdr:row>41</xdr:row>
      <xdr:rowOff>114300</xdr:rowOff>
    </xdr:to>
    <xdr:sp>
      <xdr:nvSpPr>
        <xdr:cNvPr id="488" name="Line 918"/>
        <xdr:cNvSpPr>
          <a:spLocks/>
        </xdr:cNvSpPr>
      </xdr:nvSpPr>
      <xdr:spPr>
        <a:xfrm>
          <a:off x="2895600" y="673417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41</xdr:row>
      <xdr:rowOff>85725</xdr:rowOff>
    </xdr:from>
    <xdr:to>
      <xdr:col>17</xdr:col>
      <xdr:colOff>104775</xdr:colOff>
      <xdr:row>41</xdr:row>
      <xdr:rowOff>133350</xdr:rowOff>
    </xdr:to>
    <xdr:sp>
      <xdr:nvSpPr>
        <xdr:cNvPr id="489" name="Line 919"/>
        <xdr:cNvSpPr>
          <a:spLocks/>
        </xdr:cNvSpPr>
      </xdr:nvSpPr>
      <xdr:spPr>
        <a:xfrm>
          <a:off x="2828925" y="676275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41</xdr:row>
      <xdr:rowOff>123825</xdr:rowOff>
    </xdr:from>
    <xdr:to>
      <xdr:col>17</xdr:col>
      <xdr:colOff>76200</xdr:colOff>
      <xdr:row>42</xdr:row>
      <xdr:rowOff>19050</xdr:rowOff>
    </xdr:to>
    <xdr:sp>
      <xdr:nvSpPr>
        <xdr:cNvPr id="490" name="Line 920"/>
        <xdr:cNvSpPr>
          <a:spLocks/>
        </xdr:cNvSpPr>
      </xdr:nvSpPr>
      <xdr:spPr>
        <a:xfrm>
          <a:off x="2771775" y="6800850"/>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42</xdr:row>
      <xdr:rowOff>0</xdr:rowOff>
    </xdr:from>
    <xdr:to>
      <xdr:col>16</xdr:col>
      <xdr:colOff>142875</xdr:colOff>
      <xdr:row>42</xdr:row>
      <xdr:rowOff>85725</xdr:rowOff>
    </xdr:to>
    <xdr:sp>
      <xdr:nvSpPr>
        <xdr:cNvPr id="491" name="Line 921"/>
        <xdr:cNvSpPr>
          <a:spLocks/>
        </xdr:cNvSpPr>
      </xdr:nvSpPr>
      <xdr:spPr>
        <a:xfrm>
          <a:off x="2686050" y="6838950"/>
          <a:ext cx="476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42</xdr:row>
      <xdr:rowOff>47625</xdr:rowOff>
    </xdr:from>
    <xdr:to>
      <xdr:col>16</xdr:col>
      <xdr:colOff>19050</xdr:colOff>
      <xdr:row>42</xdr:row>
      <xdr:rowOff>95250</xdr:rowOff>
    </xdr:to>
    <xdr:sp>
      <xdr:nvSpPr>
        <xdr:cNvPr id="492" name="Line 922"/>
        <xdr:cNvSpPr>
          <a:spLocks/>
        </xdr:cNvSpPr>
      </xdr:nvSpPr>
      <xdr:spPr>
        <a:xfrm>
          <a:off x="2581275" y="68865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42</xdr:row>
      <xdr:rowOff>104775</xdr:rowOff>
    </xdr:from>
    <xdr:to>
      <xdr:col>15</xdr:col>
      <xdr:colOff>142875</xdr:colOff>
      <xdr:row>43</xdr:row>
      <xdr:rowOff>0</xdr:rowOff>
    </xdr:to>
    <xdr:sp>
      <xdr:nvSpPr>
        <xdr:cNvPr id="493" name="Line 923"/>
        <xdr:cNvSpPr>
          <a:spLocks/>
        </xdr:cNvSpPr>
      </xdr:nvSpPr>
      <xdr:spPr>
        <a:xfrm>
          <a:off x="2543175" y="6943725"/>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xdr:row>
      <xdr:rowOff>123825</xdr:rowOff>
    </xdr:from>
    <xdr:to>
      <xdr:col>12</xdr:col>
      <xdr:colOff>76200</xdr:colOff>
      <xdr:row>3</xdr:row>
      <xdr:rowOff>19050</xdr:rowOff>
    </xdr:to>
    <xdr:sp>
      <xdr:nvSpPr>
        <xdr:cNvPr id="494" name="Line 924"/>
        <xdr:cNvSpPr>
          <a:spLocks/>
        </xdr:cNvSpPr>
      </xdr:nvSpPr>
      <xdr:spPr>
        <a:xfrm>
          <a:off x="1962150"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xdr:colOff>
      <xdr:row>2</xdr:row>
      <xdr:rowOff>123825</xdr:rowOff>
    </xdr:from>
    <xdr:to>
      <xdr:col>29</xdr:col>
      <xdr:colOff>76200</xdr:colOff>
      <xdr:row>3</xdr:row>
      <xdr:rowOff>19050</xdr:rowOff>
    </xdr:to>
    <xdr:sp>
      <xdr:nvSpPr>
        <xdr:cNvPr id="495" name="Line 925"/>
        <xdr:cNvSpPr>
          <a:spLocks/>
        </xdr:cNvSpPr>
      </xdr:nvSpPr>
      <xdr:spPr>
        <a:xfrm>
          <a:off x="4714875"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xdr:row>
      <xdr:rowOff>123825</xdr:rowOff>
    </xdr:from>
    <xdr:to>
      <xdr:col>46</xdr:col>
      <xdr:colOff>76200</xdr:colOff>
      <xdr:row>3</xdr:row>
      <xdr:rowOff>19050</xdr:rowOff>
    </xdr:to>
    <xdr:sp>
      <xdr:nvSpPr>
        <xdr:cNvPr id="496" name="Line 926"/>
        <xdr:cNvSpPr>
          <a:spLocks/>
        </xdr:cNvSpPr>
      </xdr:nvSpPr>
      <xdr:spPr>
        <a:xfrm>
          <a:off x="7467600" y="447675"/>
          <a:ext cx="5715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54</xdr:row>
      <xdr:rowOff>95250</xdr:rowOff>
    </xdr:from>
    <xdr:to>
      <xdr:col>16</xdr:col>
      <xdr:colOff>76200</xdr:colOff>
      <xdr:row>54</xdr:row>
      <xdr:rowOff>95250</xdr:rowOff>
    </xdr:to>
    <xdr:sp>
      <xdr:nvSpPr>
        <xdr:cNvPr id="497" name="Line 927"/>
        <xdr:cNvSpPr>
          <a:spLocks/>
        </xdr:cNvSpPr>
      </xdr:nvSpPr>
      <xdr:spPr>
        <a:xfrm flipH="1">
          <a:off x="2438400" y="9010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68</xdr:row>
      <xdr:rowOff>38100</xdr:rowOff>
    </xdr:from>
    <xdr:to>
      <xdr:col>12</xdr:col>
      <xdr:colOff>47625</xdr:colOff>
      <xdr:row>68</xdr:row>
      <xdr:rowOff>142875</xdr:rowOff>
    </xdr:to>
    <xdr:sp>
      <xdr:nvSpPr>
        <xdr:cNvPr id="498" name="Line 928"/>
        <xdr:cNvSpPr>
          <a:spLocks/>
        </xdr:cNvSpPr>
      </xdr:nvSpPr>
      <xdr:spPr>
        <a:xfrm flipH="1">
          <a:off x="1457325" y="11458575"/>
          <a:ext cx="5334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70</xdr:row>
      <xdr:rowOff>104775</xdr:rowOff>
    </xdr:from>
    <xdr:to>
      <xdr:col>7</xdr:col>
      <xdr:colOff>0</xdr:colOff>
      <xdr:row>71</xdr:row>
      <xdr:rowOff>47625</xdr:rowOff>
    </xdr:to>
    <xdr:sp>
      <xdr:nvSpPr>
        <xdr:cNvPr id="499" name="Line 929"/>
        <xdr:cNvSpPr>
          <a:spLocks/>
        </xdr:cNvSpPr>
      </xdr:nvSpPr>
      <xdr:spPr>
        <a:xfrm flipV="1">
          <a:off x="1133475" y="118491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70</xdr:row>
      <xdr:rowOff>152400</xdr:rowOff>
    </xdr:from>
    <xdr:to>
      <xdr:col>7</xdr:col>
      <xdr:colOff>38100</xdr:colOff>
      <xdr:row>71</xdr:row>
      <xdr:rowOff>38100</xdr:rowOff>
    </xdr:to>
    <xdr:sp>
      <xdr:nvSpPr>
        <xdr:cNvPr id="500" name="Arc 930"/>
        <xdr:cNvSpPr>
          <a:spLocks/>
        </xdr:cNvSpPr>
      </xdr:nvSpPr>
      <xdr:spPr>
        <a:xfrm>
          <a:off x="1133475" y="11896725"/>
          <a:ext cx="38100" cy="47625"/>
        </a:xfrm>
        <a:prstGeom prst="arc">
          <a:avLst>
            <a:gd name="adj1" fmla="val 854597"/>
            <a:gd name="adj2"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70</xdr:row>
      <xdr:rowOff>9525</xdr:rowOff>
    </xdr:from>
    <xdr:to>
      <xdr:col>7</xdr:col>
      <xdr:colOff>133350</xdr:colOff>
      <xdr:row>70</xdr:row>
      <xdr:rowOff>152400</xdr:rowOff>
    </xdr:to>
    <xdr:sp>
      <xdr:nvSpPr>
        <xdr:cNvPr id="501" name="Line 931"/>
        <xdr:cNvSpPr>
          <a:spLocks/>
        </xdr:cNvSpPr>
      </xdr:nvSpPr>
      <xdr:spPr>
        <a:xfrm>
          <a:off x="1266825" y="117538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70</xdr:row>
      <xdr:rowOff>9525</xdr:rowOff>
    </xdr:from>
    <xdr:to>
      <xdr:col>7</xdr:col>
      <xdr:colOff>9525</xdr:colOff>
      <xdr:row>70</xdr:row>
      <xdr:rowOff>152400</xdr:rowOff>
    </xdr:to>
    <xdr:sp>
      <xdr:nvSpPr>
        <xdr:cNvPr id="502" name="Line 933"/>
        <xdr:cNvSpPr>
          <a:spLocks/>
        </xdr:cNvSpPr>
      </xdr:nvSpPr>
      <xdr:spPr>
        <a:xfrm>
          <a:off x="1143000" y="117538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70</xdr:row>
      <xdr:rowOff>0</xdr:rowOff>
    </xdr:from>
    <xdr:to>
      <xdr:col>7</xdr:col>
      <xdr:colOff>133350</xdr:colOff>
      <xdr:row>70</xdr:row>
      <xdr:rowOff>0</xdr:rowOff>
    </xdr:to>
    <xdr:sp>
      <xdr:nvSpPr>
        <xdr:cNvPr id="503" name="Line 934"/>
        <xdr:cNvSpPr>
          <a:spLocks/>
        </xdr:cNvSpPr>
      </xdr:nvSpPr>
      <xdr:spPr>
        <a:xfrm flipH="1">
          <a:off x="1057275" y="11744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65</xdr:row>
      <xdr:rowOff>123825</xdr:rowOff>
    </xdr:from>
    <xdr:to>
      <xdr:col>6</xdr:col>
      <xdr:colOff>85725</xdr:colOff>
      <xdr:row>70</xdr:row>
      <xdr:rowOff>0</xdr:rowOff>
    </xdr:to>
    <xdr:sp>
      <xdr:nvSpPr>
        <xdr:cNvPr id="504" name="Line 935"/>
        <xdr:cNvSpPr>
          <a:spLocks/>
        </xdr:cNvSpPr>
      </xdr:nvSpPr>
      <xdr:spPr>
        <a:xfrm>
          <a:off x="1057275" y="110109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65</xdr:row>
      <xdr:rowOff>123825</xdr:rowOff>
    </xdr:from>
    <xdr:to>
      <xdr:col>7</xdr:col>
      <xdr:colOff>85725</xdr:colOff>
      <xdr:row>65</xdr:row>
      <xdr:rowOff>123825</xdr:rowOff>
    </xdr:to>
    <xdr:sp>
      <xdr:nvSpPr>
        <xdr:cNvPr id="505" name="Line 936"/>
        <xdr:cNvSpPr>
          <a:spLocks/>
        </xdr:cNvSpPr>
      </xdr:nvSpPr>
      <xdr:spPr>
        <a:xfrm>
          <a:off x="1057275" y="110109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29</xdr:row>
      <xdr:rowOff>95250</xdr:rowOff>
    </xdr:from>
    <xdr:to>
      <xdr:col>1</xdr:col>
      <xdr:colOff>514350</xdr:colOff>
      <xdr:row>29</xdr:row>
      <xdr:rowOff>95250</xdr:rowOff>
    </xdr:to>
    <xdr:sp>
      <xdr:nvSpPr>
        <xdr:cNvPr id="1" name="Line 1"/>
        <xdr:cNvSpPr>
          <a:spLocks/>
        </xdr:cNvSpPr>
      </xdr:nvSpPr>
      <xdr:spPr>
        <a:xfrm>
          <a:off x="1123950" y="5619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30</xdr:row>
      <xdr:rowOff>114300</xdr:rowOff>
    </xdr:from>
    <xdr:to>
      <xdr:col>1</xdr:col>
      <xdr:colOff>514350</xdr:colOff>
      <xdr:row>30</xdr:row>
      <xdr:rowOff>114300</xdr:rowOff>
    </xdr:to>
    <xdr:sp>
      <xdr:nvSpPr>
        <xdr:cNvPr id="2" name="Line 2"/>
        <xdr:cNvSpPr>
          <a:spLocks/>
        </xdr:cNvSpPr>
      </xdr:nvSpPr>
      <xdr:spPr>
        <a:xfrm>
          <a:off x="1085850" y="5829300"/>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31</xdr:row>
      <xdr:rowOff>95250</xdr:rowOff>
    </xdr:from>
    <xdr:to>
      <xdr:col>1</xdr:col>
      <xdr:colOff>514350</xdr:colOff>
      <xdr:row>31</xdr:row>
      <xdr:rowOff>95250</xdr:rowOff>
    </xdr:to>
    <xdr:sp>
      <xdr:nvSpPr>
        <xdr:cNvPr id="3" name="Line 3"/>
        <xdr:cNvSpPr>
          <a:spLocks/>
        </xdr:cNvSpPr>
      </xdr:nvSpPr>
      <xdr:spPr>
        <a:xfrm>
          <a:off x="1095375" y="6000750"/>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32</xdr:row>
      <xdr:rowOff>114300</xdr:rowOff>
    </xdr:from>
    <xdr:to>
      <xdr:col>1</xdr:col>
      <xdr:colOff>514350</xdr:colOff>
      <xdr:row>32</xdr:row>
      <xdr:rowOff>114300</xdr:rowOff>
    </xdr:to>
    <xdr:sp>
      <xdr:nvSpPr>
        <xdr:cNvPr id="4" name="Line 4"/>
        <xdr:cNvSpPr>
          <a:spLocks/>
        </xdr:cNvSpPr>
      </xdr:nvSpPr>
      <xdr:spPr>
        <a:xfrm>
          <a:off x="1066800" y="6210300"/>
          <a:ext cx="57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29</xdr:row>
      <xdr:rowOff>104775</xdr:rowOff>
    </xdr:from>
    <xdr:to>
      <xdr:col>1</xdr:col>
      <xdr:colOff>504825</xdr:colOff>
      <xdr:row>29</xdr:row>
      <xdr:rowOff>114300</xdr:rowOff>
    </xdr:to>
    <xdr:sp>
      <xdr:nvSpPr>
        <xdr:cNvPr id="5" name="Line 6"/>
        <xdr:cNvSpPr>
          <a:spLocks/>
        </xdr:cNvSpPr>
      </xdr:nvSpPr>
      <xdr:spPr>
        <a:xfrm flipV="1">
          <a:off x="1028700" y="5629275"/>
          <a:ext cx="85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24</xdr:row>
      <xdr:rowOff>114300</xdr:rowOff>
    </xdr:from>
    <xdr:to>
      <xdr:col>1</xdr:col>
      <xdr:colOff>495300</xdr:colOff>
      <xdr:row>24</xdr:row>
      <xdr:rowOff>123825</xdr:rowOff>
    </xdr:to>
    <xdr:sp>
      <xdr:nvSpPr>
        <xdr:cNvPr id="6" name="Line 7"/>
        <xdr:cNvSpPr>
          <a:spLocks/>
        </xdr:cNvSpPr>
      </xdr:nvSpPr>
      <xdr:spPr>
        <a:xfrm flipV="1">
          <a:off x="981075" y="4686300"/>
          <a:ext cx="123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4</xdr:row>
      <xdr:rowOff>114300</xdr:rowOff>
    </xdr:from>
    <xdr:to>
      <xdr:col>1</xdr:col>
      <xdr:colOff>495300</xdr:colOff>
      <xdr:row>4</xdr:row>
      <xdr:rowOff>123825</xdr:rowOff>
    </xdr:to>
    <xdr:sp>
      <xdr:nvSpPr>
        <xdr:cNvPr id="7" name="Line 8"/>
        <xdr:cNvSpPr>
          <a:spLocks/>
        </xdr:cNvSpPr>
      </xdr:nvSpPr>
      <xdr:spPr>
        <a:xfrm flipV="1">
          <a:off x="981075" y="876300"/>
          <a:ext cx="123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21</xdr:row>
      <xdr:rowOff>114300</xdr:rowOff>
    </xdr:from>
    <xdr:to>
      <xdr:col>11</xdr:col>
      <xdr:colOff>447675</xdr:colOff>
      <xdr:row>21</xdr:row>
      <xdr:rowOff>123825</xdr:rowOff>
    </xdr:to>
    <xdr:sp>
      <xdr:nvSpPr>
        <xdr:cNvPr id="8" name="Line 9"/>
        <xdr:cNvSpPr>
          <a:spLocks/>
        </xdr:cNvSpPr>
      </xdr:nvSpPr>
      <xdr:spPr>
        <a:xfrm flipV="1">
          <a:off x="7058025" y="4114800"/>
          <a:ext cx="28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4"/>
  </sheetPr>
  <dimension ref="A1:I35"/>
  <sheetViews>
    <sheetView showGridLines="0" workbookViewId="0" topLeftCell="A22">
      <selection activeCell="E48" sqref="E48"/>
    </sheetView>
  </sheetViews>
  <sheetFormatPr defaultColWidth="9.140625" defaultRowHeight="12.75"/>
  <sheetData>
    <row r="1" ht="12.75">
      <c r="A1" t="s">
        <v>3</v>
      </c>
    </row>
    <row r="2" spans="1:9" ht="15">
      <c r="A2" s="850" t="s">
        <v>0</v>
      </c>
      <c r="B2" s="850"/>
      <c r="C2" s="850"/>
      <c r="D2" s="850"/>
      <c r="E2" s="850"/>
      <c r="F2" s="850"/>
      <c r="G2" s="850"/>
      <c r="H2" s="850"/>
      <c r="I2" s="850"/>
    </row>
    <row r="3" spans="1:9" ht="15">
      <c r="A3" s="2"/>
      <c r="B3" s="2"/>
      <c r="C3" s="2"/>
      <c r="D3" s="2"/>
      <c r="E3" s="2"/>
      <c r="F3" s="2"/>
      <c r="G3" s="2"/>
      <c r="H3" s="2"/>
      <c r="I3" s="2"/>
    </row>
    <row r="4" spans="1:9" ht="12.75">
      <c r="A4" s="849" t="s">
        <v>2</v>
      </c>
      <c r="B4" s="849"/>
      <c r="C4" s="849"/>
      <c r="D4" s="849"/>
      <c r="E4" s="849"/>
      <c r="F4" s="849"/>
      <c r="G4" s="849"/>
      <c r="H4" s="849"/>
      <c r="I4" s="849"/>
    </row>
    <row r="5" spans="1:9" ht="12.75">
      <c r="A5" s="849"/>
      <c r="B5" s="849"/>
      <c r="C5" s="849"/>
      <c r="D5" s="849"/>
      <c r="E5" s="849"/>
      <c r="F5" s="849"/>
      <c r="G5" s="849"/>
      <c r="H5" s="849"/>
      <c r="I5" s="849"/>
    </row>
    <row r="6" spans="1:9" ht="12.75">
      <c r="A6" s="849"/>
      <c r="B6" s="849"/>
      <c r="C6" s="849"/>
      <c r="D6" s="849"/>
      <c r="E6" s="849"/>
      <c r="F6" s="849"/>
      <c r="G6" s="849"/>
      <c r="H6" s="849"/>
      <c r="I6" s="849"/>
    </row>
    <row r="7" spans="1:9" ht="12.75">
      <c r="A7" s="849"/>
      <c r="B7" s="849"/>
      <c r="C7" s="849"/>
      <c r="D7" s="849"/>
      <c r="E7" s="849"/>
      <c r="F7" s="849"/>
      <c r="G7" s="849"/>
      <c r="H7" s="849"/>
      <c r="I7" s="849"/>
    </row>
    <row r="8" spans="1:9" ht="12.75">
      <c r="A8" s="849"/>
      <c r="B8" s="849"/>
      <c r="C8" s="849"/>
      <c r="D8" s="849"/>
      <c r="E8" s="849"/>
      <c r="F8" s="849"/>
      <c r="G8" s="849"/>
      <c r="H8" s="849"/>
      <c r="I8" s="849"/>
    </row>
    <row r="9" spans="1:9" ht="12.75">
      <c r="A9" s="849"/>
      <c r="B9" s="849"/>
      <c r="C9" s="849"/>
      <c r="D9" s="849"/>
      <c r="E9" s="849"/>
      <c r="F9" s="849"/>
      <c r="G9" s="849"/>
      <c r="H9" s="849"/>
      <c r="I9" s="849"/>
    </row>
    <row r="10" spans="1:9" ht="12.75">
      <c r="A10" s="849"/>
      <c r="B10" s="849"/>
      <c r="C10" s="849"/>
      <c r="D10" s="849"/>
      <c r="E10" s="849"/>
      <c r="F10" s="849"/>
      <c r="G10" s="849"/>
      <c r="H10" s="849"/>
      <c r="I10" s="849"/>
    </row>
    <row r="11" spans="1:9" ht="12.75">
      <c r="A11" s="849"/>
      <c r="B11" s="849"/>
      <c r="C11" s="849"/>
      <c r="D11" s="849"/>
      <c r="E11" s="849"/>
      <c r="F11" s="849"/>
      <c r="G11" s="849"/>
      <c r="H11" s="849"/>
      <c r="I11" s="849"/>
    </row>
    <row r="12" spans="1:9" ht="12.75">
      <c r="A12" s="3"/>
      <c r="B12" s="3"/>
      <c r="C12" s="3"/>
      <c r="D12" s="3"/>
      <c r="E12" s="3"/>
      <c r="F12" s="3"/>
      <c r="G12" s="3"/>
      <c r="H12" s="3"/>
      <c r="I12" s="3"/>
    </row>
    <row r="13" spans="1:9" ht="12.75">
      <c r="A13" s="848" t="s">
        <v>1</v>
      </c>
      <c r="B13" s="848"/>
      <c r="C13" s="848"/>
      <c r="D13" s="848"/>
      <c r="E13" s="848"/>
      <c r="F13" s="848"/>
      <c r="G13" s="848"/>
      <c r="H13" s="848"/>
      <c r="I13" s="848"/>
    </row>
    <row r="14" spans="1:9" ht="12.75">
      <c r="A14" s="848"/>
      <c r="B14" s="848"/>
      <c r="C14" s="848"/>
      <c r="D14" s="848"/>
      <c r="E14" s="848"/>
      <c r="F14" s="848"/>
      <c r="G14" s="848"/>
      <c r="H14" s="848"/>
      <c r="I14" s="848"/>
    </row>
    <row r="15" spans="1:9" ht="12.75">
      <c r="A15" s="848"/>
      <c r="B15" s="848"/>
      <c r="C15" s="848"/>
      <c r="D15" s="848"/>
      <c r="E15" s="848"/>
      <c r="F15" s="848"/>
      <c r="G15" s="848"/>
      <c r="H15" s="848"/>
      <c r="I15" s="848"/>
    </row>
    <row r="16" spans="1:9" ht="12.75">
      <c r="A16" s="848"/>
      <c r="B16" s="848"/>
      <c r="C16" s="848"/>
      <c r="D16" s="848"/>
      <c r="E16" s="848"/>
      <c r="F16" s="848"/>
      <c r="G16" s="848"/>
      <c r="H16" s="848"/>
      <c r="I16" s="848"/>
    </row>
    <row r="17" spans="1:9" ht="12.75">
      <c r="A17" s="848"/>
      <c r="B17" s="848"/>
      <c r="C17" s="848"/>
      <c r="D17" s="848"/>
      <c r="E17" s="848"/>
      <c r="F17" s="848"/>
      <c r="G17" s="848"/>
      <c r="H17" s="848"/>
      <c r="I17" s="848"/>
    </row>
    <row r="18" spans="1:9" ht="12.75">
      <c r="A18" s="848"/>
      <c r="B18" s="848"/>
      <c r="C18" s="848"/>
      <c r="D18" s="848"/>
      <c r="E18" s="848"/>
      <c r="F18" s="848"/>
      <c r="G18" s="848"/>
      <c r="H18" s="848"/>
      <c r="I18" s="848"/>
    </row>
    <row r="20" ht="15">
      <c r="A20" s="1" t="s">
        <v>4</v>
      </c>
    </row>
    <row r="21" spans="1:9" ht="12.75">
      <c r="A21" s="848" t="s">
        <v>5</v>
      </c>
      <c r="B21" s="848"/>
      <c r="C21" s="848"/>
      <c r="D21" s="848"/>
      <c r="E21" s="848"/>
      <c r="F21" s="848"/>
      <c r="G21" s="848"/>
      <c r="H21" s="848"/>
      <c r="I21" s="848"/>
    </row>
    <row r="22" spans="1:9" ht="12.75">
      <c r="A22" s="848"/>
      <c r="B22" s="848"/>
      <c r="C22" s="848"/>
      <c r="D22" s="848"/>
      <c r="E22" s="848"/>
      <c r="F22" s="848"/>
      <c r="G22" s="848"/>
      <c r="H22" s="848"/>
      <c r="I22" s="848"/>
    </row>
    <row r="23" spans="1:9" ht="12.75">
      <c r="A23" s="848"/>
      <c r="B23" s="848"/>
      <c r="C23" s="848"/>
      <c r="D23" s="848"/>
      <c r="E23" s="848"/>
      <c r="F23" s="848"/>
      <c r="G23" s="848"/>
      <c r="H23" s="848"/>
      <c r="I23" s="848"/>
    </row>
    <row r="24" spans="1:2" ht="12.75">
      <c r="A24">
        <v>1</v>
      </c>
      <c r="B24" t="s">
        <v>6</v>
      </c>
    </row>
    <row r="25" spans="1:7" ht="12.75">
      <c r="A25">
        <v>2</v>
      </c>
      <c r="B25" t="s">
        <v>7</v>
      </c>
      <c r="E25" t="s">
        <v>8</v>
      </c>
      <c r="G25" t="s">
        <v>9</v>
      </c>
    </row>
    <row r="26" spans="1:2" ht="12.75">
      <c r="A26">
        <v>3</v>
      </c>
      <c r="B26" t="s">
        <v>10</v>
      </c>
    </row>
    <row r="27" spans="1:2" ht="12.75">
      <c r="A27">
        <v>4</v>
      </c>
      <c r="B27" t="s">
        <v>11</v>
      </c>
    </row>
    <row r="30" spans="1:9" ht="12.75">
      <c r="A30" s="848" t="s">
        <v>12</v>
      </c>
      <c r="B30" s="848"/>
      <c r="C30" s="848"/>
      <c r="D30" s="848"/>
      <c r="E30" s="848"/>
      <c r="F30" s="848"/>
      <c r="G30" s="848"/>
      <c r="H30" s="848"/>
      <c r="I30" s="848"/>
    </row>
    <row r="31" spans="1:9" ht="12.75">
      <c r="A31" s="848"/>
      <c r="B31" s="848"/>
      <c r="C31" s="848"/>
      <c r="D31" s="848"/>
      <c r="E31" s="848"/>
      <c r="F31" s="848"/>
      <c r="G31" s="848"/>
      <c r="H31" s="848"/>
      <c r="I31" s="848"/>
    </row>
    <row r="32" spans="1:9" ht="12.75">
      <c r="A32" s="848"/>
      <c r="B32" s="848"/>
      <c r="C32" s="848"/>
      <c r="D32" s="848"/>
      <c r="E32" s="848"/>
      <c r="F32" s="848"/>
      <c r="G32" s="848"/>
      <c r="H32" s="848"/>
      <c r="I32" s="848"/>
    </row>
    <row r="33" spans="1:9" ht="12.75">
      <c r="A33" s="848"/>
      <c r="B33" s="848"/>
      <c r="C33" s="848"/>
      <c r="D33" s="848"/>
      <c r="E33" s="848"/>
      <c r="F33" s="848"/>
      <c r="G33" s="848"/>
      <c r="H33" s="848"/>
      <c r="I33" s="848"/>
    </row>
    <row r="35" ht="12.75">
      <c r="A35" t="s">
        <v>13</v>
      </c>
    </row>
  </sheetData>
  <mergeCells count="5">
    <mergeCell ref="A30:I33"/>
    <mergeCell ref="A4:I11"/>
    <mergeCell ref="A13:I18"/>
    <mergeCell ref="A2:I2"/>
    <mergeCell ref="A21:I2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B1:BI55"/>
  <sheetViews>
    <sheetView showGridLines="0" workbookViewId="0" topLeftCell="E11">
      <selection activeCell="I42" sqref="I42"/>
    </sheetView>
  </sheetViews>
  <sheetFormatPr defaultColWidth="9.140625" defaultRowHeight="15" customHeight="1"/>
  <cols>
    <col min="1" max="1" width="9.140625" style="283" customWidth="1"/>
    <col min="2" max="2" width="9.28125" style="283" customWidth="1"/>
    <col min="3" max="4" width="9.140625" style="283" customWidth="1"/>
    <col min="5" max="5" width="10.8515625" style="283" bestFit="1" customWidth="1"/>
    <col min="6" max="6" width="9.8515625" style="283" customWidth="1"/>
    <col min="7" max="7" width="9.00390625" style="283" customWidth="1"/>
    <col min="8" max="9" width="9.140625" style="283" customWidth="1"/>
    <col min="10" max="33" width="2.7109375" style="283" customWidth="1"/>
    <col min="34" max="34" width="2.57421875" style="283" customWidth="1"/>
    <col min="35" max="71" width="2.8515625" style="283" customWidth="1"/>
    <col min="72" max="16384" width="9.140625" style="283" customWidth="1"/>
  </cols>
  <sheetData>
    <row r="1" spans="2:23" ht="15" customHeight="1">
      <c r="B1" s="308" t="s">
        <v>436</v>
      </c>
      <c r="C1" s="308"/>
      <c r="D1" s="308"/>
      <c r="E1" s="308"/>
      <c r="F1" s="308"/>
      <c r="P1" s="309"/>
      <c r="Q1" s="309"/>
      <c r="R1" s="309"/>
      <c r="T1" s="309"/>
      <c r="U1" s="309"/>
      <c r="V1" s="309"/>
      <c r="W1" s="309"/>
    </row>
    <row r="2" spans="2:31" ht="15" customHeight="1">
      <c r="B2" s="785" t="s">
        <v>435</v>
      </c>
      <c r="C2" s="786"/>
      <c r="D2" s="786"/>
      <c r="E2" s="786"/>
      <c r="F2" s="786"/>
      <c r="G2" s="786"/>
      <c r="H2" s="786"/>
      <c r="I2" s="787"/>
      <c r="J2" s="600"/>
      <c r="K2" s="600"/>
      <c r="L2" s="600"/>
      <c r="M2" s="600"/>
      <c r="N2" s="217"/>
      <c r="O2" s="217"/>
      <c r="P2" s="348"/>
      <c r="Q2" s="217"/>
      <c r="R2" s="348"/>
      <c r="S2" s="217"/>
      <c r="T2" s="857">
        <f>'Design '!F63</f>
        <v>200</v>
      </c>
      <c r="U2" s="857"/>
      <c r="V2" s="857"/>
      <c r="W2" s="847" t="s">
        <v>62</v>
      </c>
      <c r="X2" s="343" t="str">
        <f>B14</f>
        <v>Surcharge angle</v>
      </c>
      <c r="Y2" s="343"/>
      <c r="Z2" s="343"/>
      <c r="AA2" s="609"/>
      <c r="AB2" s="609"/>
      <c r="AC2" s="609"/>
      <c r="AD2" s="600"/>
      <c r="AE2" s="309"/>
    </row>
    <row r="3" spans="2:48" ht="15" customHeight="1">
      <c r="B3" s="788"/>
      <c r="C3" s="789"/>
      <c r="D3" s="789"/>
      <c r="E3" s="789"/>
      <c r="F3" s="789"/>
      <c r="G3" s="789"/>
      <c r="H3" s="789"/>
      <c r="I3" s="759"/>
      <c r="J3" s="598"/>
      <c r="K3" s="598"/>
      <c r="L3" s="599"/>
      <c r="M3" s="599"/>
      <c r="N3" s="348"/>
      <c r="O3" s="348"/>
      <c r="P3" s="348"/>
      <c r="Q3" s="348"/>
      <c r="R3" s="348"/>
      <c r="S3" s="348"/>
      <c r="T3" s="348"/>
      <c r="U3" s="829"/>
      <c r="V3" s="345"/>
      <c r="W3" s="829"/>
      <c r="X3" s="345"/>
      <c r="Y3" s="829"/>
      <c r="Z3" s="345"/>
      <c r="AA3" s="796">
        <f>'Drawing '!Q46</f>
        <v>12</v>
      </c>
      <c r="AB3" s="797"/>
      <c r="AC3" s="301" t="s">
        <v>410</v>
      </c>
      <c r="AD3" s="294"/>
      <c r="AE3" s="309"/>
      <c r="AU3" s="791"/>
      <c r="AV3" s="791"/>
    </row>
    <row r="4" spans="2:31" ht="15" customHeight="1">
      <c r="B4" s="760"/>
      <c r="C4" s="761"/>
      <c r="D4" s="761"/>
      <c r="E4" s="761"/>
      <c r="F4" s="761"/>
      <c r="G4" s="761"/>
      <c r="H4" s="761"/>
      <c r="I4" s="762"/>
      <c r="J4" s="763">
        <f>J7</f>
        <v>8</v>
      </c>
      <c r="K4" s="763"/>
      <c r="L4" s="301" t="s">
        <v>410</v>
      </c>
      <c r="M4" s="659"/>
      <c r="N4" s="217"/>
      <c r="O4" s="217"/>
      <c r="P4" s="217"/>
      <c r="Q4" s="217"/>
      <c r="R4" s="348"/>
      <c r="S4" s="348"/>
      <c r="T4" s="348"/>
      <c r="U4" s="830"/>
      <c r="V4" s="217"/>
      <c r="W4" s="217"/>
      <c r="X4" s="217"/>
      <c r="Y4" s="217"/>
      <c r="Z4" s="217"/>
      <c r="AA4" s="802">
        <f>'Drawing '!R47</f>
        <v>360</v>
      </c>
      <c r="AB4" s="816"/>
      <c r="AC4" s="293" t="s">
        <v>400</v>
      </c>
      <c r="AD4" s="295"/>
      <c r="AE4" s="309"/>
    </row>
    <row r="5" spans="2:61" ht="15" customHeight="1">
      <c r="B5" s="602" t="s">
        <v>66</v>
      </c>
      <c r="C5" s="599"/>
      <c r="D5" s="603"/>
      <c r="E5" s="604"/>
      <c r="F5" s="605"/>
      <c r="G5" s="606" t="s">
        <v>28</v>
      </c>
      <c r="H5" s="674">
        <v>3</v>
      </c>
      <c r="I5" s="677" t="s">
        <v>15</v>
      </c>
      <c r="J5" s="815">
        <f>'Drawing '!I46</f>
        <v>300</v>
      </c>
      <c r="K5" s="816"/>
      <c r="L5" s="660" t="s">
        <v>400</v>
      </c>
      <c r="M5" s="661"/>
      <c r="N5" s="348"/>
      <c r="O5" s="348"/>
      <c r="P5" s="857">
        <f>'Design '!J6*1000</f>
        <v>3000</v>
      </c>
      <c r="Q5" s="857"/>
      <c r="R5" s="777">
        <f>'Drawing '!AD49</f>
        <v>1.94</v>
      </c>
      <c r="S5" s="778"/>
      <c r="T5" s="348"/>
      <c r="U5" s="217"/>
      <c r="V5" s="217"/>
      <c r="W5" s="217"/>
      <c r="X5" s="217"/>
      <c r="Y5" s="217"/>
      <c r="Z5" s="217"/>
      <c r="AA5" s="600"/>
      <c r="AB5" s="600"/>
      <c r="AC5" s="600"/>
      <c r="AD5" s="617"/>
      <c r="AE5" s="309"/>
      <c r="AG5" s="307"/>
      <c r="AH5" s="307"/>
      <c r="AI5" s="307"/>
      <c r="AJ5" s="307"/>
      <c r="AK5" s="307"/>
      <c r="AL5" s="307"/>
      <c r="AM5" s="307"/>
      <c r="AW5" s="307"/>
      <c r="AX5" s="307"/>
      <c r="AY5" s="307"/>
      <c r="AZ5" s="307"/>
      <c r="BA5" s="307"/>
      <c r="BB5" s="307"/>
      <c r="BC5" s="307"/>
      <c r="BD5" s="307"/>
      <c r="BE5" s="307"/>
      <c r="BF5" s="307"/>
      <c r="BI5" s="307"/>
    </row>
    <row r="6" spans="2:31" ht="15" customHeight="1">
      <c r="B6" s="602" t="s">
        <v>67</v>
      </c>
      <c r="C6" s="599"/>
      <c r="D6" s="603"/>
      <c r="E6" s="604"/>
      <c r="F6" s="605"/>
      <c r="G6" s="606" t="s">
        <v>28</v>
      </c>
      <c r="H6" s="654">
        <v>18</v>
      </c>
      <c r="I6" s="677" t="s">
        <v>608</v>
      </c>
      <c r="J6" s="607"/>
      <c r="K6" s="781">
        <f>(H5+H15)*1000</f>
        <v>4000</v>
      </c>
      <c r="L6" s="782"/>
      <c r="M6" s="609"/>
      <c r="N6" s="343"/>
      <c r="O6" s="348"/>
      <c r="P6" s="348"/>
      <c r="Q6" s="348"/>
      <c r="R6" s="778"/>
      <c r="S6" s="778"/>
      <c r="T6" s="343"/>
      <c r="U6" s="217"/>
      <c r="V6" s="217"/>
      <c r="W6" s="831"/>
      <c r="X6" s="832"/>
      <c r="Y6" s="832"/>
      <c r="Z6" s="833"/>
      <c r="AA6" s="866">
        <f>'Drawing '!H52</f>
        <v>8</v>
      </c>
      <c r="AB6" s="835"/>
      <c r="AC6" s="301" t="s">
        <v>410</v>
      </c>
      <c r="AD6" s="294"/>
      <c r="AE6" s="309"/>
    </row>
    <row r="7" spans="2:36" ht="15" customHeight="1">
      <c r="B7" s="602" t="s">
        <v>68</v>
      </c>
      <c r="C7" s="599"/>
      <c r="D7" s="603"/>
      <c r="E7" s="604"/>
      <c r="F7" s="605"/>
      <c r="G7" s="606" t="s">
        <v>28</v>
      </c>
      <c r="H7" s="654">
        <v>30</v>
      </c>
      <c r="I7" s="677" t="s">
        <v>74</v>
      </c>
      <c r="J7" s="866">
        <f>'Drawing '!Q59</f>
        <v>8</v>
      </c>
      <c r="K7" s="835"/>
      <c r="L7" s="301" t="s">
        <v>410</v>
      </c>
      <c r="M7" s="294"/>
      <c r="N7" s="217"/>
      <c r="O7" s="217"/>
      <c r="P7" s="217"/>
      <c r="Q7" s="217"/>
      <c r="R7" s="348"/>
      <c r="S7" s="348"/>
      <c r="T7" s="343"/>
      <c r="U7" s="834"/>
      <c r="V7" s="217"/>
      <c r="W7" s="217"/>
      <c r="X7" s="217"/>
      <c r="Y7" s="217"/>
      <c r="Z7" s="217"/>
      <c r="AA7" s="815">
        <f>'Drawing '!I53</f>
        <v>160</v>
      </c>
      <c r="AB7" s="816"/>
      <c r="AC7" s="293" t="s">
        <v>400</v>
      </c>
      <c r="AD7" s="295"/>
      <c r="AE7" s="309"/>
      <c r="AI7" s="866">
        <f>'Drawing '!T74</f>
        <v>8</v>
      </c>
      <c r="AJ7" s="835"/>
    </row>
    <row r="8" spans="2:36" ht="15" customHeight="1">
      <c r="B8" s="610" t="s">
        <v>69</v>
      </c>
      <c r="C8" s="599"/>
      <c r="D8" s="603"/>
      <c r="E8" s="607"/>
      <c r="F8" s="607"/>
      <c r="G8" s="606" t="s">
        <v>28</v>
      </c>
      <c r="H8" s="654">
        <v>100</v>
      </c>
      <c r="I8" s="677" t="s">
        <v>608</v>
      </c>
      <c r="J8" s="815">
        <f>'Drawing '!R60</f>
        <v>300</v>
      </c>
      <c r="K8" s="816"/>
      <c r="L8" s="293" t="s">
        <v>400</v>
      </c>
      <c r="M8" s="295"/>
      <c r="N8" s="217"/>
      <c r="O8" s="857">
        <f>P5+L13</f>
        <v>3730</v>
      </c>
      <c r="P8" s="857"/>
      <c r="Q8" s="777">
        <f>'Drawing '!AC52</f>
        <v>2.58</v>
      </c>
      <c r="R8" s="778"/>
      <c r="S8" s="348"/>
      <c r="T8" s="348"/>
      <c r="U8" s="838"/>
      <c r="V8" s="217"/>
      <c r="W8" s="217"/>
      <c r="X8" s="217"/>
      <c r="Y8" s="217"/>
      <c r="Z8" s="217"/>
      <c r="AA8" s="600"/>
      <c r="AB8" s="600"/>
      <c r="AC8" s="600"/>
      <c r="AD8" s="617"/>
      <c r="AE8" s="309"/>
      <c r="AI8" s="815">
        <f>'Drawing '!U75</f>
        <v>170</v>
      </c>
      <c r="AJ8" s="816"/>
    </row>
    <row r="9" spans="2:31" ht="15" customHeight="1">
      <c r="B9" s="602" t="s">
        <v>70</v>
      </c>
      <c r="C9" s="599"/>
      <c r="D9" s="603"/>
      <c r="E9" s="607"/>
      <c r="F9" s="607"/>
      <c r="G9" s="606" t="s">
        <v>28</v>
      </c>
      <c r="H9" s="654">
        <v>0.5</v>
      </c>
      <c r="I9" s="677"/>
      <c r="J9" s="764">
        <f>H5*1000</f>
        <v>3000</v>
      </c>
      <c r="K9" s="765"/>
      <c r="L9" s="600"/>
      <c r="M9" s="855">
        <f>H5*1000+L13</f>
        <v>3730</v>
      </c>
      <c r="N9" s="856"/>
      <c r="O9" s="217"/>
      <c r="P9" s="348"/>
      <c r="Q9" s="778"/>
      <c r="R9" s="778"/>
      <c r="S9" s="348"/>
      <c r="T9" s="348"/>
      <c r="U9" s="838"/>
      <c r="V9" s="217"/>
      <c r="W9" s="217"/>
      <c r="X9" s="217"/>
      <c r="Y9" s="217"/>
      <c r="Z9" s="217"/>
      <c r="AA9" s="779">
        <f>'Drawing '!Q55</f>
        <v>12</v>
      </c>
      <c r="AB9" s="780"/>
      <c r="AC9" s="301" t="s">
        <v>410</v>
      </c>
      <c r="AD9" s="294"/>
      <c r="AE9" s="309"/>
    </row>
    <row r="10" spans="2:31" ht="15" customHeight="1">
      <c r="B10" s="602" t="s">
        <v>71</v>
      </c>
      <c r="C10" s="599"/>
      <c r="D10" s="612" t="s">
        <v>73</v>
      </c>
      <c r="E10" s="331">
        <v>20</v>
      </c>
      <c r="F10" s="783" t="s">
        <v>33</v>
      </c>
      <c r="G10" s="784"/>
      <c r="H10" s="654">
        <v>25000</v>
      </c>
      <c r="I10" s="677" t="s">
        <v>609</v>
      </c>
      <c r="J10" s="851">
        <f>F32</f>
        <v>8</v>
      </c>
      <c r="K10" s="852"/>
      <c r="L10" s="301" t="s">
        <v>410</v>
      </c>
      <c r="M10" s="294"/>
      <c r="N10" s="217"/>
      <c r="O10" s="217"/>
      <c r="P10" s="217"/>
      <c r="Q10" s="348"/>
      <c r="R10" s="348"/>
      <c r="S10" s="348"/>
      <c r="T10" s="348"/>
      <c r="U10" s="838"/>
      <c r="V10" s="217"/>
      <c r="W10" s="217"/>
      <c r="X10" s="217"/>
      <c r="Y10" s="217"/>
      <c r="Z10" s="217"/>
      <c r="AA10" s="802">
        <f>'Drawing '!R56</f>
        <v>180</v>
      </c>
      <c r="AB10" s="816"/>
      <c r="AC10" s="293" t="s">
        <v>400</v>
      </c>
      <c r="AD10" s="295"/>
      <c r="AE10" s="309"/>
    </row>
    <row r="11" spans="2:61" ht="15" customHeight="1">
      <c r="B11" s="602" t="s">
        <v>72</v>
      </c>
      <c r="C11" s="600"/>
      <c r="D11" s="612" t="s">
        <v>381</v>
      </c>
      <c r="E11" s="672">
        <v>415</v>
      </c>
      <c r="F11" s="676" t="s">
        <v>32</v>
      </c>
      <c r="G11" s="613" t="s">
        <v>383</v>
      </c>
      <c r="H11" s="672">
        <v>230</v>
      </c>
      <c r="I11" s="678" t="s">
        <v>610</v>
      </c>
      <c r="J11" s="853">
        <f>H32</f>
        <v>170</v>
      </c>
      <c r="K11" s="854"/>
      <c r="L11" s="293" t="s">
        <v>400</v>
      </c>
      <c r="M11" s="295"/>
      <c r="N11" s="348"/>
      <c r="O11" s="348"/>
      <c r="P11" s="348"/>
      <c r="Q11" s="348"/>
      <c r="R11" s="348"/>
      <c r="S11" s="348"/>
      <c r="T11" s="348"/>
      <c r="U11" s="838"/>
      <c r="V11" s="217"/>
      <c r="W11" s="217"/>
      <c r="X11" s="217"/>
      <c r="Y11" s="217"/>
      <c r="Z11" s="217"/>
      <c r="AA11" s="608"/>
      <c r="AB11" s="609"/>
      <c r="AC11" s="599"/>
      <c r="AD11" s="599"/>
      <c r="AE11" s="309"/>
      <c r="AM11" s="308"/>
      <c r="BB11" s="792"/>
      <c r="BC11" s="792"/>
      <c r="BD11" s="791"/>
      <c r="BE11" s="791"/>
      <c r="BF11" s="306"/>
      <c r="BI11" s="306"/>
    </row>
    <row r="12" spans="2:31" ht="15" customHeight="1">
      <c r="B12" s="602"/>
      <c r="C12" s="605"/>
      <c r="D12" s="613" t="s">
        <v>382</v>
      </c>
      <c r="E12" s="673">
        <v>7</v>
      </c>
      <c r="F12" s="676" t="s">
        <v>32</v>
      </c>
      <c r="G12" s="614" t="s">
        <v>15</v>
      </c>
      <c r="H12" s="654">
        <v>13.33</v>
      </c>
      <c r="I12" s="679"/>
      <c r="J12" s="615"/>
      <c r="K12" s="600"/>
      <c r="L12" s="669"/>
      <c r="M12" s="669"/>
      <c r="N12" s="839"/>
      <c r="O12" s="840"/>
      <c r="P12" s="841"/>
      <c r="Q12" s="838"/>
      <c r="R12" s="348"/>
      <c r="S12" s="348"/>
      <c r="T12" s="348"/>
      <c r="U12" s="838"/>
      <c r="V12" s="217"/>
      <c r="W12" s="217"/>
      <c r="X12" s="217"/>
      <c r="Y12" s="217"/>
      <c r="Z12" s="217"/>
      <c r="AA12" s="866">
        <f>'Drawing '!H63</f>
        <v>12</v>
      </c>
      <c r="AB12" s="835"/>
      <c r="AC12" s="827" t="s">
        <v>410</v>
      </c>
      <c r="AD12" s="326"/>
      <c r="AE12" s="309"/>
    </row>
    <row r="13" spans="2:54" ht="15" customHeight="1">
      <c r="B13" s="610" t="s">
        <v>109</v>
      </c>
      <c r="C13" s="599"/>
      <c r="D13" s="607"/>
      <c r="E13" s="607"/>
      <c r="F13" s="607"/>
      <c r="G13" s="616" t="s">
        <v>28</v>
      </c>
      <c r="H13" s="654">
        <v>30</v>
      </c>
      <c r="I13" s="677" t="s">
        <v>26</v>
      </c>
      <c r="J13" s="821">
        <f>H15*1000</f>
        <v>1000</v>
      </c>
      <c r="K13" s="822"/>
      <c r="L13" s="860">
        <f>H15*1000-J15</f>
        <v>730</v>
      </c>
      <c r="M13" s="860"/>
      <c r="N13" s="829"/>
      <c r="O13" s="862"/>
      <c r="P13" s="863"/>
      <c r="Q13" s="863"/>
      <c r="R13" s="343"/>
      <c r="S13" s="343"/>
      <c r="T13" s="348"/>
      <c r="U13" s="842"/>
      <c r="V13" s="217"/>
      <c r="W13" s="217"/>
      <c r="X13" s="217"/>
      <c r="Y13" s="217"/>
      <c r="Z13" s="217"/>
      <c r="AA13" s="815">
        <f>'Drawing '!I64</f>
        <v>90</v>
      </c>
      <c r="AB13" s="816"/>
      <c r="AC13" s="324" t="s">
        <v>400</v>
      </c>
      <c r="AD13" s="325"/>
      <c r="AE13" s="309"/>
      <c r="AK13" s="791"/>
      <c r="AL13" s="791"/>
      <c r="AQ13" s="313"/>
      <c r="AR13" s="313"/>
      <c r="BA13" s="791"/>
      <c r="BB13" s="791"/>
    </row>
    <row r="14" spans="2:34" ht="15" customHeight="1">
      <c r="B14" s="610" t="s">
        <v>437</v>
      </c>
      <c r="C14" s="599"/>
      <c r="D14" s="607"/>
      <c r="E14" s="607"/>
      <c r="F14" s="607"/>
      <c r="G14" s="671" t="s">
        <v>607</v>
      </c>
      <c r="H14" s="654">
        <v>16</v>
      </c>
      <c r="I14" s="677" t="s">
        <v>74</v>
      </c>
      <c r="J14" s="807"/>
      <c r="K14" s="808"/>
      <c r="L14" s="860"/>
      <c r="M14" s="860"/>
      <c r="N14" s="829"/>
      <c r="O14" s="863"/>
      <c r="P14" s="863"/>
      <c r="Q14" s="863"/>
      <c r="R14" s="348"/>
      <c r="S14" s="348"/>
      <c r="T14" s="348"/>
      <c r="U14" s="838"/>
      <c r="V14" s="217"/>
      <c r="W14" s="217"/>
      <c r="X14" s="217"/>
      <c r="Y14" s="217"/>
      <c r="Z14" s="217"/>
      <c r="AA14" s="851">
        <f>F34</f>
        <v>10</v>
      </c>
      <c r="AB14" s="852"/>
      <c r="AC14" s="301" t="s">
        <v>410</v>
      </c>
      <c r="AD14" s="294"/>
      <c r="AE14" s="309"/>
      <c r="AG14" s="866">
        <f>'Design '!C180</f>
        <v>10</v>
      </c>
      <c r="AH14" s="835"/>
    </row>
    <row r="15" spans="2:34" ht="15" customHeight="1">
      <c r="B15" s="610" t="s">
        <v>438</v>
      </c>
      <c r="C15" s="599"/>
      <c r="D15" s="607"/>
      <c r="E15" s="607"/>
      <c r="F15" s="607"/>
      <c r="G15" s="616" t="s">
        <v>28</v>
      </c>
      <c r="H15" s="675">
        <v>1</v>
      </c>
      <c r="I15" s="677" t="s">
        <v>15</v>
      </c>
      <c r="J15" s="836">
        <f>'Design '!R128</f>
        <v>270</v>
      </c>
      <c r="K15" s="837"/>
      <c r="L15" s="855">
        <f>AA12*45</f>
        <v>540</v>
      </c>
      <c r="M15" s="856"/>
      <c r="N15" s="843"/>
      <c r="O15" s="348"/>
      <c r="P15" s="348"/>
      <c r="Q15" s="348"/>
      <c r="R15" s="348"/>
      <c r="S15" s="348"/>
      <c r="T15" s="348"/>
      <c r="U15" s="348"/>
      <c r="V15" s="348"/>
      <c r="W15" s="348"/>
      <c r="X15" s="348"/>
      <c r="Y15" s="793"/>
      <c r="Z15" s="793"/>
      <c r="AA15" s="853">
        <f>H34</f>
        <v>210</v>
      </c>
      <c r="AB15" s="854"/>
      <c r="AC15" s="293" t="s">
        <v>400</v>
      </c>
      <c r="AD15" s="295"/>
      <c r="AE15" s="309"/>
      <c r="AG15" s="815">
        <f>'Design '!N182</f>
        <v>210</v>
      </c>
      <c r="AH15" s="816"/>
    </row>
    <row r="16" spans="2:32" ht="15" customHeight="1">
      <c r="B16" s="773" t="s">
        <v>418</v>
      </c>
      <c r="C16" s="774"/>
      <c r="D16" s="774"/>
      <c r="E16" s="774"/>
      <c r="F16" s="774"/>
      <c r="G16" s="774"/>
      <c r="H16" s="774"/>
      <c r="I16" s="607"/>
      <c r="J16" s="825"/>
      <c r="K16" s="826"/>
      <c r="L16" s="860">
        <f>'Design '!F129</f>
        <v>200</v>
      </c>
      <c r="M16" s="860"/>
      <c r="N16" s="348"/>
      <c r="O16" s="348"/>
      <c r="P16" s="348"/>
      <c r="Q16" s="844"/>
      <c r="R16" s="844"/>
      <c r="S16" s="343"/>
      <c r="T16" s="845"/>
      <c r="U16" s="809"/>
      <c r="V16" s="809"/>
      <c r="W16" s="348"/>
      <c r="X16" s="348"/>
      <c r="Y16" s="348"/>
      <c r="Z16" s="348"/>
      <c r="AA16" s="600"/>
      <c r="AB16" s="836">
        <f>L16</f>
        <v>200</v>
      </c>
      <c r="AC16" s="837"/>
      <c r="AD16" s="617"/>
      <c r="AE16" s="309"/>
      <c r="AF16" s="308"/>
    </row>
    <row r="17" spans="2:32" ht="15" customHeight="1">
      <c r="B17" s="618" t="s">
        <v>420</v>
      </c>
      <c r="C17" s="619"/>
      <c r="D17" s="620" t="s">
        <v>421</v>
      </c>
      <c r="E17" s="621">
        <f>O13</f>
        <v>0</v>
      </c>
      <c r="F17" s="620" t="s">
        <v>26</v>
      </c>
      <c r="G17" s="622" t="s">
        <v>422</v>
      </c>
      <c r="H17" s="623">
        <f>T2</f>
        <v>200</v>
      </c>
      <c r="I17" s="620" t="s">
        <v>26</v>
      </c>
      <c r="J17" s="823"/>
      <c r="K17" s="824"/>
      <c r="L17" s="861"/>
      <c r="M17" s="861"/>
      <c r="N17" s="348"/>
      <c r="O17" s="844"/>
      <c r="P17" s="844"/>
      <c r="Q17" s="348"/>
      <c r="R17" s="348"/>
      <c r="S17" s="348"/>
      <c r="T17" s="217"/>
      <c r="U17" s="217"/>
      <c r="V17" s="217"/>
      <c r="W17" s="217"/>
      <c r="X17" s="217"/>
      <c r="Y17" s="217"/>
      <c r="Z17" s="217"/>
      <c r="AA17" s="600"/>
      <c r="AB17" s="823"/>
      <c r="AC17" s="824"/>
      <c r="AD17" s="617"/>
      <c r="AE17" s="309"/>
      <c r="AF17" s="307"/>
    </row>
    <row r="18" spans="2:31" ht="15" customHeight="1">
      <c r="B18" s="625"/>
      <c r="C18" s="619"/>
      <c r="D18" s="620" t="s">
        <v>424</v>
      </c>
      <c r="E18" s="626">
        <f>X21</f>
        <v>899.9999999999999</v>
      </c>
      <c r="F18" s="620" t="s">
        <v>26</v>
      </c>
      <c r="G18" s="620" t="s">
        <v>423</v>
      </c>
      <c r="H18" s="623">
        <f>P21</f>
        <v>1200.0000000000002</v>
      </c>
      <c r="I18" s="620" t="s">
        <v>26</v>
      </c>
      <c r="J18" s="851">
        <f>'Drawing '!G74</f>
        <v>12</v>
      </c>
      <c r="K18" s="852"/>
      <c r="L18" s="301" t="s">
        <v>410</v>
      </c>
      <c r="M18" s="656"/>
      <c r="N18" s="217"/>
      <c r="O18" s="217"/>
      <c r="P18" s="217"/>
      <c r="Q18" s="217"/>
      <c r="R18" s="343"/>
      <c r="S18" s="846"/>
      <c r="T18" s="846"/>
      <c r="U18" s="348"/>
      <c r="V18" s="348"/>
      <c r="W18" s="348"/>
      <c r="X18" s="845"/>
      <c r="Y18" s="845"/>
      <c r="Z18" s="348"/>
      <c r="AA18" s="599"/>
      <c r="AB18" s="599"/>
      <c r="AC18" s="599"/>
      <c r="AD18" s="617"/>
      <c r="AE18" s="309"/>
    </row>
    <row r="19" spans="2:49" ht="15" customHeight="1">
      <c r="B19" s="627" t="s">
        <v>419</v>
      </c>
      <c r="C19" s="619"/>
      <c r="D19" s="628">
        <f>T20</f>
        <v>2100</v>
      </c>
      <c r="E19" s="629" t="s">
        <v>584</v>
      </c>
      <c r="F19" s="630">
        <v>300</v>
      </c>
      <c r="G19" s="631" t="s">
        <v>37</v>
      </c>
      <c r="H19" s="658">
        <v>300</v>
      </c>
      <c r="I19" s="620" t="s">
        <v>26</v>
      </c>
      <c r="J19" s="853">
        <f>'Drawing '!H75</f>
        <v>120</v>
      </c>
      <c r="K19" s="813"/>
      <c r="L19" s="293" t="s">
        <v>404</v>
      </c>
      <c r="M19" s="295"/>
      <c r="N19" s="348"/>
      <c r="O19" s="845"/>
      <c r="P19" s="845"/>
      <c r="Q19" s="845"/>
      <c r="R19" s="348"/>
      <c r="S19" s="348"/>
      <c r="T19" s="217"/>
      <c r="U19" s="217"/>
      <c r="V19" s="217"/>
      <c r="W19" s="217"/>
      <c r="X19" s="217"/>
      <c r="Y19" s="217"/>
      <c r="Z19" s="217"/>
      <c r="AA19" s="600"/>
      <c r="AB19" s="794">
        <f>'Design '!H296</f>
        <v>300</v>
      </c>
      <c r="AC19" s="795"/>
      <c r="AD19" s="617"/>
      <c r="AE19" s="309"/>
      <c r="AG19" s="308"/>
      <c r="AV19" s="308"/>
      <c r="AW19" s="308"/>
    </row>
    <row r="20" spans="2:49" ht="15" customHeight="1">
      <c r="B20" s="632"/>
      <c r="C20" s="607"/>
      <c r="D20" s="607"/>
      <c r="E20" s="607"/>
      <c r="F20" s="607"/>
      <c r="G20" s="607"/>
      <c r="H20" s="633"/>
      <c r="I20" s="633"/>
      <c r="J20" s="600"/>
      <c r="K20" s="600"/>
      <c r="L20" s="600"/>
      <c r="M20" s="600"/>
      <c r="N20" s="348"/>
      <c r="O20" s="348"/>
      <c r="P20" s="348"/>
      <c r="Q20" s="348"/>
      <c r="R20" s="217"/>
      <c r="S20" s="343"/>
      <c r="T20" s="857">
        <f>P21+R21+X21</f>
        <v>2100</v>
      </c>
      <c r="U20" s="857"/>
      <c r="V20" s="857"/>
      <c r="W20" s="348"/>
      <c r="X20" s="348"/>
      <c r="Y20" s="348"/>
      <c r="Z20" s="348"/>
      <c r="AA20" s="599"/>
      <c r="AB20" s="599"/>
      <c r="AC20" s="599"/>
      <c r="AD20" s="617"/>
      <c r="AE20" s="309"/>
      <c r="AG20" s="307"/>
      <c r="AJ20" s="307"/>
      <c r="AV20" s="814"/>
      <c r="AW20" s="814"/>
    </row>
    <row r="21" spans="2:31" ht="15" customHeight="1">
      <c r="B21" s="634" t="s">
        <v>412</v>
      </c>
      <c r="C21" s="607"/>
      <c r="D21" s="607"/>
      <c r="E21" s="600"/>
      <c r="F21" s="607"/>
      <c r="G21" s="616"/>
      <c r="H21" s="607"/>
      <c r="I21" s="600"/>
      <c r="J21" s="600"/>
      <c r="K21" s="600"/>
      <c r="L21" s="600"/>
      <c r="M21" s="600"/>
      <c r="N21" s="600"/>
      <c r="O21" s="600"/>
      <c r="P21" s="855">
        <f>'Design '!P49*1000</f>
        <v>1200.0000000000002</v>
      </c>
      <c r="Q21" s="856"/>
      <c r="R21" s="662"/>
      <c r="S21" s="624"/>
      <c r="T21" s="810">
        <v>300</v>
      </c>
      <c r="U21" s="811"/>
      <c r="V21" s="812"/>
      <c r="W21" s="662"/>
      <c r="X21" s="855">
        <f>'Design '!L51*1000</f>
        <v>899.9999999999999</v>
      </c>
      <c r="Y21" s="856"/>
      <c r="Z21" s="600"/>
      <c r="AA21" s="600"/>
      <c r="AB21" s="600"/>
      <c r="AC21" s="600"/>
      <c r="AD21" s="617"/>
      <c r="AE21" s="309"/>
    </row>
    <row r="22" spans="2:30" ht="15" customHeight="1">
      <c r="B22" s="636" t="s">
        <v>413</v>
      </c>
      <c r="C22" s="599"/>
      <c r="D22" s="599"/>
      <c r="E22" s="599"/>
      <c r="F22" s="599"/>
      <c r="G22" s="599"/>
      <c r="H22" s="600"/>
      <c r="I22" s="600"/>
      <c r="J22" s="810">
        <f>'Drawing '!X50</f>
        <v>8</v>
      </c>
      <c r="K22" s="811"/>
      <c r="L22" s="299" t="s">
        <v>380</v>
      </c>
      <c r="M22" s="300"/>
      <c r="N22" s="775">
        <f>'Drawing '!Y51</f>
        <v>160</v>
      </c>
      <c r="O22" s="776"/>
      <c r="P22" s="297" t="s">
        <v>404</v>
      </c>
      <c r="Q22" s="298"/>
      <c r="R22" s="599"/>
      <c r="S22" s="599"/>
      <c r="T22" s="599"/>
      <c r="U22" s="599"/>
      <c r="V22" s="600"/>
      <c r="W22" s="599"/>
      <c r="X22" s="599"/>
      <c r="Y22" s="600"/>
      <c r="Z22" s="600"/>
      <c r="AA22" s="866">
        <f>'Drawing '!H66</f>
        <v>8</v>
      </c>
      <c r="AB22" s="835"/>
      <c r="AC22" s="827" t="s">
        <v>410</v>
      </c>
      <c r="AD22" s="326"/>
    </row>
    <row r="23" spans="2:31" ht="15" customHeight="1">
      <c r="B23" s="637"/>
      <c r="C23" s="638" t="s">
        <v>417</v>
      </c>
      <c r="D23" s="639"/>
      <c r="E23" s="639"/>
      <c r="F23" s="600"/>
      <c r="G23" s="600"/>
      <c r="H23" s="600"/>
      <c r="I23" s="600"/>
      <c r="J23" s="607"/>
      <c r="K23" s="607"/>
      <c r="L23" s="599"/>
      <c r="M23" s="599"/>
      <c r="N23" s="599"/>
      <c r="O23" s="599"/>
      <c r="P23" s="599"/>
      <c r="Q23" s="599"/>
      <c r="R23" s="599"/>
      <c r="S23" s="599"/>
      <c r="T23" s="599"/>
      <c r="U23" s="599"/>
      <c r="V23" s="599"/>
      <c r="W23" s="599"/>
      <c r="X23" s="599"/>
      <c r="Y23" s="600"/>
      <c r="Z23" s="600"/>
      <c r="AA23" s="815">
        <f>'Drawing '!I67</f>
        <v>170</v>
      </c>
      <c r="AB23" s="816"/>
      <c r="AC23" s="324" t="s">
        <v>400</v>
      </c>
      <c r="AD23" s="325"/>
      <c r="AE23" s="309"/>
    </row>
    <row r="24" spans="2:31" ht="15" customHeight="1">
      <c r="B24" s="805" t="s">
        <v>425</v>
      </c>
      <c r="C24" s="806"/>
      <c r="D24" s="806"/>
      <c r="E24" s="640">
        <f>Q8</f>
        <v>2.58</v>
      </c>
      <c r="F24" s="287">
        <v>12</v>
      </c>
      <c r="G24" s="680" t="s">
        <v>611</v>
      </c>
      <c r="H24" s="303">
        <f>'Design '!N214</f>
        <v>90</v>
      </c>
      <c r="I24" s="601" t="s">
        <v>187</v>
      </c>
      <c r="J24" s="641"/>
      <c r="K24" s="599"/>
      <c r="L24" s="599"/>
      <c r="M24" s="327">
        <f>J7</f>
        <v>8</v>
      </c>
      <c r="N24" s="328" t="s">
        <v>369</v>
      </c>
      <c r="O24" s="599"/>
      <c r="P24" s="599"/>
      <c r="Q24" s="599"/>
      <c r="R24" s="599"/>
      <c r="S24" s="599"/>
      <c r="T24" s="599"/>
      <c r="U24" s="599"/>
      <c r="V24" s="599"/>
      <c r="W24" s="599"/>
      <c r="X24" s="599"/>
      <c r="Y24" s="820">
        <f>Y29</f>
        <v>12</v>
      </c>
      <c r="Z24" s="790"/>
      <c r="AA24" s="828" t="s">
        <v>410</v>
      </c>
      <c r="AB24" s="655"/>
      <c r="AC24" s="611"/>
      <c r="AD24" s="642"/>
      <c r="AE24" s="309"/>
    </row>
    <row r="25" spans="2:31" ht="15" customHeight="1">
      <c r="B25" s="805" t="s">
        <v>426</v>
      </c>
      <c r="C25" s="806"/>
      <c r="D25" s="806"/>
      <c r="E25" s="640">
        <f>R5</f>
        <v>1.94</v>
      </c>
      <c r="F25" s="285">
        <f>F24</f>
        <v>12</v>
      </c>
      <c r="G25" s="680" t="s">
        <v>611</v>
      </c>
      <c r="H25" s="304">
        <f>AA10</f>
        <v>180</v>
      </c>
      <c r="I25" s="601" t="s">
        <v>187</v>
      </c>
      <c r="J25" s="641"/>
      <c r="K25" s="599"/>
      <c r="L25" s="599"/>
      <c r="M25" s="853">
        <f>J8</f>
        <v>300</v>
      </c>
      <c r="N25" s="859"/>
      <c r="O25" s="600"/>
      <c r="P25" s="599"/>
      <c r="Q25" s="600"/>
      <c r="R25" s="600"/>
      <c r="S25" s="599"/>
      <c r="T25" s="599"/>
      <c r="U25" s="864">
        <f>'Drawing '!AC52</f>
        <v>2.58</v>
      </c>
      <c r="V25" s="865"/>
      <c r="W25" s="600"/>
      <c r="X25" s="599"/>
      <c r="Y25" s="817">
        <f>AA4</f>
        <v>360</v>
      </c>
      <c r="Z25" s="818"/>
      <c r="AA25" s="293" t="s">
        <v>400</v>
      </c>
      <c r="AB25" s="295"/>
      <c r="AC25" s="611"/>
      <c r="AD25" s="642"/>
      <c r="AE25" s="309"/>
    </row>
    <row r="26" spans="2:31" ht="15" customHeight="1">
      <c r="B26" s="805" t="s">
        <v>427</v>
      </c>
      <c r="C26" s="806"/>
      <c r="D26" s="806"/>
      <c r="E26" s="643" t="s">
        <v>416</v>
      </c>
      <c r="F26" s="286">
        <f>F25</f>
        <v>12</v>
      </c>
      <c r="G26" s="680" t="s">
        <v>611</v>
      </c>
      <c r="H26" s="305">
        <f>AA4</f>
        <v>360</v>
      </c>
      <c r="I26" s="601" t="s">
        <v>187</v>
      </c>
      <c r="J26" s="641"/>
      <c r="K26" s="641"/>
      <c r="L26" s="599"/>
      <c r="M26" s="599"/>
      <c r="N26" s="600"/>
      <c r="O26" s="600"/>
      <c r="P26" s="599"/>
      <c r="Q26" s="600"/>
      <c r="R26" s="600"/>
      <c r="S26" s="599"/>
      <c r="T26" s="599"/>
      <c r="U26" s="865"/>
      <c r="V26" s="865"/>
      <c r="W26" s="600"/>
      <c r="X26" s="599"/>
      <c r="Y26" s="600"/>
      <c r="Z26" s="600"/>
      <c r="AA26" s="600"/>
      <c r="AB26" s="600"/>
      <c r="AC26" s="611"/>
      <c r="AD26" s="642"/>
      <c r="AE26" s="309"/>
    </row>
    <row r="27" spans="2:31" ht="15" customHeight="1">
      <c r="B27" s="644"/>
      <c r="C27" s="599"/>
      <c r="D27" s="599"/>
      <c r="E27" s="600"/>
      <c r="F27" s="600"/>
      <c r="G27" s="681"/>
      <c r="H27" s="600"/>
      <c r="I27" s="635"/>
      <c r="J27" s="607"/>
      <c r="K27" s="607"/>
      <c r="L27" s="599"/>
      <c r="M27" s="599"/>
      <c r="N27" s="599"/>
      <c r="O27" s="599"/>
      <c r="P27" s="599"/>
      <c r="Q27" s="599"/>
      <c r="R27" s="599"/>
      <c r="S27" s="599"/>
      <c r="T27" s="599"/>
      <c r="U27" s="599"/>
      <c r="V27" s="864">
        <f>'Drawing '!AD49</f>
        <v>1.94</v>
      </c>
      <c r="W27" s="865"/>
      <c r="X27" s="599"/>
      <c r="Y27" s="645"/>
      <c r="Z27" s="645"/>
      <c r="AA27" s="611"/>
      <c r="AB27" s="611"/>
      <c r="AC27" s="611"/>
      <c r="AD27" s="642"/>
      <c r="AE27" s="309"/>
    </row>
    <row r="28" spans="2:45" ht="15" customHeight="1">
      <c r="B28" s="644"/>
      <c r="C28" s="646" t="s">
        <v>394</v>
      </c>
      <c r="D28" s="599"/>
      <c r="E28" s="600"/>
      <c r="F28" s="302">
        <v>8</v>
      </c>
      <c r="G28" s="680" t="s">
        <v>612</v>
      </c>
      <c r="H28" s="303">
        <f>'Design '!L276</f>
        <v>160</v>
      </c>
      <c r="I28" s="601" t="s">
        <v>187</v>
      </c>
      <c r="J28" s="803">
        <f>O8</f>
        <v>3730</v>
      </c>
      <c r="K28" s="804"/>
      <c r="L28" s="804"/>
      <c r="M28" s="599"/>
      <c r="N28" s="599"/>
      <c r="O28" s="599"/>
      <c r="P28" s="599"/>
      <c r="Q28" s="599"/>
      <c r="R28" s="599"/>
      <c r="S28" s="599"/>
      <c r="T28" s="599"/>
      <c r="U28" s="599"/>
      <c r="V28" s="865"/>
      <c r="W28" s="865"/>
      <c r="X28" s="599"/>
      <c r="Y28" s="600"/>
      <c r="Z28" s="600"/>
      <c r="AA28" s="600"/>
      <c r="AB28" s="600"/>
      <c r="AC28" s="611"/>
      <c r="AD28" s="642"/>
      <c r="AE28" s="309"/>
      <c r="AR28" s="313"/>
      <c r="AS28" s="308"/>
    </row>
    <row r="29" spans="2:55" ht="15" customHeight="1">
      <c r="B29" s="644"/>
      <c r="C29" s="646" t="s">
        <v>395</v>
      </c>
      <c r="D29" s="599"/>
      <c r="E29" s="600"/>
      <c r="F29" s="288">
        <v>8</v>
      </c>
      <c r="G29" s="680" t="s">
        <v>612</v>
      </c>
      <c r="H29" s="305">
        <f>'Design '!L278</f>
        <v>300</v>
      </c>
      <c r="I29" s="601" t="s">
        <v>187</v>
      </c>
      <c r="J29" s="601"/>
      <c r="K29" s="601"/>
      <c r="L29" s="601"/>
      <c r="M29" s="599"/>
      <c r="N29" s="599"/>
      <c r="O29" s="599"/>
      <c r="P29" s="599"/>
      <c r="Q29" s="599"/>
      <c r="R29" s="599"/>
      <c r="S29" s="599"/>
      <c r="T29" s="599"/>
      <c r="U29" s="599"/>
      <c r="V29" s="599"/>
      <c r="W29" s="599"/>
      <c r="X29" s="599"/>
      <c r="Y29" s="866">
        <f>F26</f>
        <v>12</v>
      </c>
      <c r="Z29" s="835"/>
      <c r="AA29" s="301" t="s">
        <v>410</v>
      </c>
      <c r="AB29" s="294"/>
      <c r="AC29" s="611"/>
      <c r="AD29" s="642"/>
      <c r="AE29" s="309"/>
      <c r="AK29" s="313"/>
      <c r="AL29" s="313"/>
      <c r="AM29" s="314"/>
      <c r="AN29" s="314"/>
      <c r="AR29" s="313"/>
      <c r="AS29" s="313"/>
      <c r="AV29" s="308"/>
      <c r="AW29" s="308"/>
      <c r="BB29" s="313"/>
      <c r="BC29" s="313"/>
    </row>
    <row r="30" spans="2:31" ht="15" customHeight="1">
      <c r="B30" s="647" t="s">
        <v>414</v>
      </c>
      <c r="C30" s="599"/>
      <c r="D30" s="599"/>
      <c r="E30" s="600"/>
      <c r="F30" s="600"/>
      <c r="G30" s="681"/>
      <c r="H30" s="600"/>
      <c r="I30" s="635"/>
      <c r="J30" s="641"/>
      <c r="K30" s="641"/>
      <c r="L30" s="599"/>
      <c r="M30" s="599"/>
      <c r="N30" s="599"/>
      <c r="O30" s="599"/>
      <c r="P30" s="599"/>
      <c r="Q30" s="599"/>
      <c r="R30" s="599"/>
      <c r="S30" s="599"/>
      <c r="T30" s="599"/>
      <c r="U30" s="599"/>
      <c r="V30" s="599"/>
      <c r="W30" s="599"/>
      <c r="X30" s="599"/>
      <c r="Y30" s="815">
        <f>AA10</f>
        <v>180</v>
      </c>
      <c r="Z30" s="819"/>
      <c r="AA30" s="293" t="s">
        <v>400</v>
      </c>
      <c r="AB30" s="295"/>
      <c r="AC30" s="611"/>
      <c r="AD30" s="642"/>
      <c r="AE30" s="309"/>
    </row>
    <row r="31" spans="2:42" ht="15" customHeight="1">
      <c r="B31" s="644"/>
      <c r="C31" s="657" t="s">
        <v>411</v>
      </c>
      <c r="D31" s="599"/>
      <c r="E31" s="600"/>
      <c r="F31" s="287">
        <v>12</v>
      </c>
      <c r="G31" s="680" t="s">
        <v>611</v>
      </c>
      <c r="H31" s="303">
        <f>'Design '!J139</f>
        <v>120</v>
      </c>
      <c r="I31" s="601" t="s">
        <v>187</v>
      </c>
      <c r="J31" s="599"/>
      <c r="K31" s="599"/>
      <c r="L31" s="599"/>
      <c r="M31" s="599"/>
      <c r="N31" s="599"/>
      <c r="O31" s="599"/>
      <c r="P31" s="599"/>
      <c r="Q31" s="599"/>
      <c r="R31" s="599"/>
      <c r="S31" s="599"/>
      <c r="T31" s="599"/>
      <c r="U31" s="599"/>
      <c r="V31" s="599"/>
      <c r="W31" s="599"/>
      <c r="X31" s="599"/>
      <c r="Y31" s="600"/>
      <c r="Z31" s="600"/>
      <c r="AA31" s="600"/>
      <c r="AB31" s="600"/>
      <c r="AC31" s="611"/>
      <c r="AD31" s="642"/>
      <c r="AE31" s="309"/>
      <c r="AP31" s="313"/>
    </row>
    <row r="32" spans="2:56" ht="15" customHeight="1">
      <c r="B32" s="644"/>
      <c r="C32" s="641" t="s">
        <v>394</v>
      </c>
      <c r="D32" s="599"/>
      <c r="E32" s="600"/>
      <c r="F32" s="288">
        <v>8</v>
      </c>
      <c r="G32" s="680" t="s">
        <v>612</v>
      </c>
      <c r="H32" s="305">
        <f>'Design '!N147</f>
        <v>170</v>
      </c>
      <c r="I32" s="601" t="s">
        <v>187</v>
      </c>
      <c r="J32" s="648"/>
      <c r="K32" s="648"/>
      <c r="L32" s="599"/>
      <c r="M32" s="599"/>
      <c r="N32" s="599"/>
      <c r="O32" s="599"/>
      <c r="P32" s="599"/>
      <c r="Q32" s="599"/>
      <c r="R32" s="599"/>
      <c r="S32" s="599"/>
      <c r="T32" s="599"/>
      <c r="U32" s="599"/>
      <c r="V32" s="599"/>
      <c r="W32" s="599"/>
      <c r="X32" s="599"/>
      <c r="Y32" s="866">
        <f>F25</f>
        <v>12</v>
      </c>
      <c r="Z32" s="835"/>
      <c r="AA32" s="296" t="s">
        <v>380</v>
      </c>
      <c r="AB32" s="294"/>
      <c r="AC32" s="611"/>
      <c r="AD32" s="642"/>
      <c r="AE32" s="309"/>
      <c r="AH32" s="313"/>
      <c r="AM32" s="315"/>
      <c r="AN32" s="315"/>
      <c r="BC32" s="315"/>
      <c r="BD32" s="315"/>
    </row>
    <row r="33" spans="2:56" ht="15" customHeight="1">
      <c r="B33" s="647" t="s">
        <v>415</v>
      </c>
      <c r="C33" s="599"/>
      <c r="D33" s="599"/>
      <c r="E33" s="600"/>
      <c r="F33" s="600"/>
      <c r="G33" s="681"/>
      <c r="H33" s="600"/>
      <c r="I33" s="635"/>
      <c r="J33" s="599"/>
      <c r="K33" s="599"/>
      <c r="L33" s="599"/>
      <c r="M33" s="599"/>
      <c r="N33" s="599"/>
      <c r="O33" s="599"/>
      <c r="P33" s="599"/>
      <c r="Q33" s="599"/>
      <c r="R33" s="599"/>
      <c r="S33" s="599"/>
      <c r="T33" s="599"/>
      <c r="U33" s="599"/>
      <c r="V33" s="599"/>
      <c r="W33" s="599"/>
      <c r="X33" s="599"/>
      <c r="Y33" s="815">
        <f>AA13</f>
        <v>90</v>
      </c>
      <c r="Z33" s="819"/>
      <c r="AA33" s="293" t="s">
        <v>400</v>
      </c>
      <c r="AB33" s="295"/>
      <c r="AC33" s="611"/>
      <c r="AD33" s="642"/>
      <c r="AE33" s="309"/>
      <c r="AM33" s="316"/>
      <c r="AN33" s="316"/>
      <c r="BC33" s="316"/>
      <c r="BD33" s="316"/>
    </row>
    <row r="34" spans="2:31" ht="15" customHeight="1">
      <c r="B34" s="644"/>
      <c r="C34" s="657" t="s">
        <v>411</v>
      </c>
      <c r="D34" s="599"/>
      <c r="E34" s="600"/>
      <c r="F34" s="287">
        <v>10</v>
      </c>
      <c r="G34" s="680" t="s">
        <v>611</v>
      </c>
      <c r="H34" s="303">
        <f>'Design '!N182</f>
        <v>210</v>
      </c>
      <c r="I34" s="601" t="s">
        <v>187</v>
      </c>
      <c r="J34" s="648"/>
      <c r="K34" s="648"/>
      <c r="L34" s="599"/>
      <c r="M34" s="599"/>
      <c r="N34" s="599"/>
      <c r="O34" s="599"/>
      <c r="P34" s="599"/>
      <c r="Q34" s="599"/>
      <c r="R34" s="599"/>
      <c r="S34" s="599"/>
      <c r="T34" s="599"/>
      <c r="U34" s="599"/>
      <c r="V34" s="599"/>
      <c r="W34" s="599"/>
      <c r="X34" s="599"/>
      <c r="Y34" s="611"/>
      <c r="Z34" s="611"/>
      <c r="AA34" s="611"/>
      <c r="AB34" s="611"/>
      <c r="AC34" s="611"/>
      <c r="AD34" s="642"/>
      <c r="AE34" s="309"/>
    </row>
    <row r="35" spans="2:51" ht="15" customHeight="1">
      <c r="B35" s="649"/>
      <c r="C35" s="650" t="s">
        <v>394</v>
      </c>
      <c r="D35" s="651"/>
      <c r="E35" s="651"/>
      <c r="F35" s="288">
        <v>8</v>
      </c>
      <c r="G35" s="682" t="s">
        <v>612</v>
      </c>
      <c r="H35" s="305">
        <f>'Design '!N190</f>
        <v>170</v>
      </c>
      <c r="I35" s="683" t="s">
        <v>187</v>
      </c>
      <c r="J35" s="651"/>
      <c r="K35" s="651"/>
      <c r="L35" s="858" t="s">
        <v>434</v>
      </c>
      <c r="M35" s="858"/>
      <c r="N35" s="858"/>
      <c r="O35" s="858"/>
      <c r="P35" s="652"/>
      <c r="Q35" s="651"/>
      <c r="R35" s="858" t="s">
        <v>433</v>
      </c>
      <c r="S35" s="858"/>
      <c r="T35" s="858"/>
      <c r="U35" s="858"/>
      <c r="V35" s="858"/>
      <c r="W35" s="858"/>
      <c r="X35" s="858"/>
      <c r="Y35" s="651"/>
      <c r="Z35" s="651"/>
      <c r="AA35" s="651"/>
      <c r="AB35" s="651"/>
      <c r="AC35" s="651"/>
      <c r="AD35" s="653"/>
      <c r="AE35" s="309"/>
      <c r="AI35" s="313"/>
      <c r="AU35" s="814"/>
      <c r="AV35" s="814"/>
      <c r="AW35" s="313"/>
      <c r="AX35" s="313"/>
      <c r="AY35" s="313"/>
    </row>
    <row r="36" spans="2:35" ht="15" customHeight="1">
      <c r="B36" s="798" t="s">
        <v>613</v>
      </c>
      <c r="C36" s="799"/>
      <c r="D36" s="799"/>
      <c r="E36" s="799"/>
      <c r="F36" s="309"/>
      <c r="G36" s="310"/>
      <c r="H36" s="309"/>
      <c r="I36" s="309"/>
      <c r="AI36" s="318"/>
    </row>
    <row r="37" spans="2:9" ht="15" customHeight="1">
      <c r="B37" s="798"/>
      <c r="C37" s="799"/>
      <c r="D37" s="799"/>
      <c r="E37" s="799"/>
      <c r="F37" s="310" t="s">
        <v>392</v>
      </c>
      <c r="G37" s="323">
        <v>2.83</v>
      </c>
      <c r="H37" s="319"/>
      <c r="I37" s="321">
        <f>'Design '!J239*('Design '!L239+'Design '!N239*'Data sheet'!G37)^0.334-'Data sheet'!G37</f>
        <v>0.013263839528175225</v>
      </c>
    </row>
    <row r="38" spans="2:9" ht="15" customHeight="1">
      <c r="B38" s="798"/>
      <c r="C38" s="799"/>
      <c r="D38" s="799"/>
      <c r="E38" s="799"/>
      <c r="F38" s="309"/>
      <c r="G38" s="309"/>
      <c r="H38" s="309"/>
      <c r="I38" s="310"/>
    </row>
    <row r="39" spans="2:32" ht="15" customHeight="1">
      <c r="B39" s="800"/>
      <c r="C39" s="801"/>
      <c r="D39" s="801"/>
      <c r="E39" s="801"/>
      <c r="F39" s="320" t="s">
        <v>392</v>
      </c>
      <c r="G39" s="322">
        <v>2.19</v>
      </c>
      <c r="H39" s="317"/>
      <c r="I39" s="321">
        <f>'Design '!J251*('Design '!L251+'Design '!N251*'Data sheet'!G39)^0.334-'Data sheet'!G39</f>
        <v>0.0011573378461267048</v>
      </c>
      <c r="AF39" s="307"/>
    </row>
    <row r="40" spans="3:5" ht="15" customHeight="1">
      <c r="C40" s="311"/>
      <c r="D40" s="311"/>
      <c r="E40" s="311"/>
    </row>
    <row r="41" spans="4:5" ht="15" customHeight="1">
      <c r="D41" s="309"/>
      <c r="E41" s="309"/>
    </row>
    <row r="42" ht="15" customHeight="1">
      <c r="AG42" s="307"/>
    </row>
    <row r="43" spans="2:32" ht="15" customHeight="1">
      <c r="B43" s="312"/>
      <c r="C43" s="312"/>
      <c r="D43" s="312"/>
      <c r="E43" s="312"/>
      <c r="F43" s="312"/>
      <c r="G43" s="312"/>
      <c r="H43" s="312"/>
      <c r="I43" s="312"/>
      <c r="J43" s="312"/>
      <c r="AF43" s="307"/>
    </row>
    <row r="44" spans="2:10" ht="15" customHeight="1">
      <c r="B44" s="312"/>
      <c r="C44" s="312"/>
      <c r="D44" s="312"/>
      <c r="E44" s="312"/>
      <c r="F44" s="312"/>
      <c r="G44" s="312"/>
      <c r="H44" s="312"/>
      <c r="I44" s="312"/>
      <c r="J44" s="312"/>
    </row>
    <row r="45" spans="2:10" ht="15" customHeight="1">
      <c r="B45" s="312"/>
      <c r="C45" s="312"/>
      <c r="D45" s="312"/>
      <c r="E45" s="312"/>
      <c r="F45" s="312"/>
      <c r="G45" s="312"/>
      <c r="H45" s="312"/>
      <c r="I45" s="312"/>
      <c r="J45" s="312"/>
    </row>
    <row r="46" spans="2:33" ht="15" customHeight="1">
      <c r="B46" s="312"/>
      <c r="C46" s="312"/>
      <c r="D46" s="312"/>
      <c r="E46" s="312"/>
      <c r="F46" s="312"/>
      <c r="G46" s="312"/>
      <c r="H46" s="312"/>
      <c r="I46" s="312"/>
      <c r="J46" s="312"/>
      <c r="AG46" s="307"/>
    </row>
    <row r="47" spans="2:10" ht="15" customHeight="1">
      <c r="B47" s="312"/>
      <c r="C47" s="312"/>
      <c r="D47" s="312"/>
      <c r="E47" s="312"/>
      <c r="F47" s="312"/>
      <c r="G47" s="312"/>
      <c r="H47" s="312"/>
      <c r="I47" s="312"/>
      <c r="J47" s="312"/>
    </row>
    <row r="48" spans="2:10" ht="15" customHeight="1">
      <c r="B48" s="312"/>
      <c r="C48" s="312"/>
      <c r="D48" s="312"/>
      <c r="E48" s="312"/>
      <c r="F48" s="312"/>
      <c r="G48" s="312"/>
      <c r="H48" s="312"/>
      <c r="I48" s="312"/>
      <c r="J48" s="312"/>
    </row>
    <row r="49" spans="2:10" ht="15" customHeight="1">
      <c r="B49" s="312"/>
      <c r="C49" s="312"/>
      <c r="D49" s="312"/>
      <c r="E49" s="312"/>
      <c r="F49" s="312"/>
      <c r="G49" s="312"/>
      <c r="H49" s="312"/>
      <c r="I49" s="312"/>
      <c r="J49" s="312"/>
    </row>
    <row r="50" spans="2:10" ht="15" customHeight="1">
      <c r="B50" s="312"/>
      <c r="C50" s="312"/>
      <c r="D50" s="312"/>
      <c r="E50" s="312"/>
      <c r="F50" s="312"/>
      <c r="G50" s="312"/>
      <c r="H50" s="312"/>
      <c r="I50" s="312"/>
      <c r="J50" s="312"/>
    </row>
    <row r="51" spans="2:10" ht="15" customHeight="1">
      <c r="B51" s="312"/>
      <c r="C51" s="312"/>
      <c r="D51" s="312"/>
      <c r="E51" s="312"/>
      <c r="F51" s="312"/>
      <c r="G51" s="312"/>
      <c r="H51" s="312"/>
      <c r="I51" s="312"/>
      <c r="J51" s="312"/>
    </row>
    <row r="52" spans="2:10" ht="15" customHeight="1">
      <c r="B52" s="312"/>
      <c r="C52" s="312"/>
      <c r="D52" s="312"/>
      <c r="E52" s="312"/>
      <c r="F52" s="312"/>
      <c r="G52" s="312"/>
      <c r="H52" s="312"/>
      <c r="I52" s="312"/>
      <c r="J52" s="312"/>
    </row>
    <row r="53" spans="2:10" ht="15" customHeight="1">
      <c r="B53" s="312"/>
      <c r="C53" s="312"/>
      <c r="D53" s="312"/>
      <c r="E53" s="312"/>
      <c r="F53" s="312"/>
      <c r="G53" s="312"/>
      <c r="H53" s="312"/>
      <c r="I53" s="312"/>
      <c r="J53" s="312"/>
    </row>
    <row r="54" spans="2:10" ht="15" customHeight="1">
      <c r="B54" s="312"/>
      <c r="C54" s="312"/>
      <c r="D54" s="312"/>
      <c r="E54" s="312"/>
      <c r="F54" s="312"/>
      <c r="G54" s="312"/>
      <c r="H54" s="312"/>
      <c r="I54" s="312"/>
      <c r="J54" s="312"/>
    </row>
    <row r="55" spans="2:10" ht="15" customHeight="1">
      <c r="B55" s="312"/>
      <c r="C55" s="312"/>
      <c r="D55" s="312"/>
      <c r="E55" s="312"/>
      <c r="F55" s="312"/>
      <c r="G55" s="312"/>
      <c r="H55" s="312"/>
      <c r="I55" s="312"/>
      <c r="J55" s="312"/>
    </row>
  </sheetData>
  <sheetProtection/>
  <protectedRanges>
    <protectedRange sqref="F24:F26 F28:F29 F31:F32 F34:F35 G37 G39 E10:E12 H13:H15 H5:H11" name="Range1"/>
  </protectedRanges>
  <mergeCells count="74">
    <mergeCell ref="AA9:AB9"/>
    <mergeCell ref="K6:L6"/>
    <mergeCell ref="AA4:AB4"/>
    <mergeCell ref="F10:G10"/>
    <mergeCell ref="O8:P8"/>
    <mergeCell ref="B2:I4"/>
    <mergeCell ref="J4:K4"/>
    <mergeCell ref="J9:K9"/>
    <mergeCell ref="J5:K5"/>
    <mergeCell ref="P5:Q5"/>
    <mergeCell ref="AA22:AB22"/>
    <mergeCell ref="AA23:AB23"/>
    <mergeCell ref="B36:E39"/>
    <mergeCell ref="AA10:AB10"/>
    <mergeCell ref="J28:L28"/>
    <mergeCell ref="B24:D24"/>
    <mergeCell ref="B25:D25"/>
    <mergeCell ref="B26:D26"/>
    <mergeCell ref="J22:K22"/>
    <mergeCell ref="B16:H16"/>
    <mergeCell ref="AU3:AV3"/>
    <mergeCell ref="AA13:AB13"/>
    <mergeCell ref="AV20:AW20"/>
    <mergeCell ref="AB19:AC19"/>
    <mergeCell ref="AA3:AB3"/>
    <mergeCell ref="AG14:AH14"/>
    <mergeCell ref="AB16:AC17"/>
    <mergeCell ref="AG15:AH15"/>
    <mergeCell ref="AA6:AB6"/>
    <mergeCell ref="AA7:AB7"/>
    <mergeCell ref="BD11:BE11"/>
    <mergeCell ref="AK13:AL13"/>
    <mergeCell ref="BA13:BB13"/>
    <mergeCell ref="BB11:BC11"/>
    <mergeCell ref="AU35:AV35"/>
    <mergeCell ref="Y32:Z32"/>
    <mergeCell ref="AI7:AJ7"/>
    <mergeCell ref="AI8:AJ8"/>
    <mergeCell ref="Y25:Z25"/>
    <mergeCell ref="Y33:Z33"/>
    <mergeCell ref="Y29:Z29"/>
    <mergeCell ref="Y30:Z30"/>
    <mergeCell ref="AA15:AB15"/>
    <mergeCell ref="Y24:Z24"/>
    <mergeCell ref="AA12:AB12"/>
    <mergeCell ref="J15:K17"/>
    <mergeCell ref="J13:K14"/>
    <mergeCell ref="P21:Q21"/>
    <mergeCell ref="U16:V16"/>
    <mergeCell ref="T21:V21"/>
    <mergeCell ref="J19:K19"/>
    <mergeCell ref="AA14:AB14"/>
    <mergeCell ref="J18:K18"/>
    <mergeCell ref="Y15:Z15"/>
    <mergeCell ref="L15:M15"/>
    <mergeCell ref="L13:M14"/>
    <mergeCell ref="O13:Q14"/>
    <mergeCell ref="R35:X35"/>
    <mergeCell ref="U25:V26"/>
    <mergeCell ref="V27:W28"/>
    <mergeCell ref="X21:Y21"/>
    <mergeCell ref="N22:O22"/>
    <mergeCell ref="T20:V20"/>
    <mergeCell ref="L35:O35"/>
    <mergeCell ref="M25:N25"/>
    <mergeCell ref="L16:M17"/>
    <mergeCell ref="J10:K10"/>
    <mergeCell ref="J11:K11"/>
    <mergeCell ref="M9:N9"/>
    <mergeCell ref="T2:V2"/>
    <mergeCell ref="J8:K8"/>
    <mergeCell ref="Q8:R9"/>
    <mergeCell ref="R5:S6"/>
    <mergeCell ref="J7:K7"/>
  </mergeCells>
  <printOptions/>
  <pageMargins left="0.75" right="0.75" top="0.5" bottom="0.5" header="0" footer="0"/>
  <pageSetup horizontalDpi="600" verticalDpi="600" orientation="landscape" paperSize="9" r:id="rId4"/>
  <headerFooter alignWithMargins="0">
    <oddFooter>&amp;Lpk_nandwana@yahoo.co.in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I314"/>
  <sheetViews>
    <sheetView showGridLines="0" workbookViewId="0" topLeftCell="I21">
      <selection activeCell="U13" sqref="U13:X33"/>
    </sheetView>
  </sheetViews>
  <sheetFormatPr defaultColWidth="9.140625" defaultRowHeight="12.75"/>
  <cols>
    <col min="1" max="1" width="2.00390625" style="0" customWidth="1"/>
    <col min="2" max="2" width="14.00390625" style="0" customWidth="1"/>
    <col min="3" max="3" width="3.140625" style="0" customWidth="1"/>
    <col min="4" max="4" width="6.28125" style="0" customWidth="1"/>
    <col min="5" max="5" width="4.57421875" style="0" customWidth="1"/>
    <col min="6" max="6" width="6.57421875" style="0" customWidth="1"/>
    <col min="7" max="7" width="2.57421875" style="0" customWidth="1"/>
    <col min="8" max="8" width="6.28125" style="0" customWidth="1"/>
    <col min="9" max="9" width="2.8515625" style="0" customWidth="1"/>
    <col min="10" max="10" width="5.7109375" style="0" customWidth="1"/>
    <col min="11" max="11" width="2.8515625" style="0" customWidth="1"/>
    <col min="12" max="12" width="5.7109375" style="0" customWidth="1"/>
    <col min="13" max="13" width="2.421875" style="0" customWidth="1"/>
    <col min="14" max="14" width="5.7109375" style="0" customWidth="1"/>
    <col min="15" max="15" width="2.00390625" style="0" customWidth="1"/>
    <col min="16" max="16" width="6.00390625" style="0" customWidth="1"/>
    <col min="17" max="17" width="2.57421875" style="0" customWidth="1"/>
    <col min="18" max="18" width="5.57421875" style="0" customWidth="1"/>
    <col min="19" max="19" width="4.421875" style="0" customWidth="1"/>
    <col min="20" max="20" width="6.28125" style="0" customWidth="1"/>
    <col min="23" max="23" width="6.8515625" style="0" customWidth="1"/>
    <col min="24" max="24" width="8.7109375" style="0" customWidth="1"/>
    <col min="25" max="25" width="9.28125" style="0" customWidth="1"/>
    <col min="26" max="26" width="2.8515625" style="0" customWidth="1"/>
    <col min="27" max="27" width="7.421875" style="0" customWidth="1"/>
    <col min="28" max="28" width="2.8515625" style="0" customWidth="1"/>
    <col min="29" max="29" width="2.57421875" style="0" customWidth="1"/>
    <col min="30" max="30" width="3.00390625" style="0" customWidth="1"/>
    <col min="31" max="31" width="1.57421875" style="0" customWidth="1"/>
    <col min="32" max="32" width="3.7109375" style="0" customWidth="1"/>
    <col min="33" max="33" width="6.421875" style="0" customWidth="1"/>
  </cols>
  <sheetData>
    <row r="1" spans="1:20" ht="12.75">
      <c r="A1" s="6">
        <v>15</v>
      </c>
      <c r="B1" s="6">
        <v>115</v>
      </c>
      <c r="C1" s="6">
        <v>20</v>
      </c>
      <c r="D1" s="6">
        <v>45</v>
      </c>
      <c r="E1" s="6">
        <v>33</v>
      </c>
      <c r="F1" s="6">
        <v>44</v>
      </c>
      <c r="G1" s="6">
        <v>18</v>
      </c>
      <c r="H1" s="6">
        <v>40</v>
      </c>
      <c r="I1" s="6">
        <v>20</v>
      </c>
      <c r="J1" s="6">
        <v>40</v>
      </c>
      <c r="K1" s="6">
        <v>20</v>
      </c>
      <c r="L1" s="6">
        <v>40</v>
      </c>
      <c r="M1" s="6">
        <v>18</v>
      </c>
      <c r="N1" s="6">
        <v>40</v>
      </c>
      <c r="O1" s="6">
        <v>16</v>
      </c>
      <c r="P1" s="6">
        <v>34</v>
      </c>
      <c r="Q1" s="6">
        <v>16</v>
      </c>
      <c r="R1" s="6">
        <v>34</v>
      </c>
      <c r="S1" s="6">
        <v>26</v>
      </c>
      <c r="T1" s="6"/>
    </row>
    <row r="2" ht="12.75">
      <c r="A2" s="5" t="s">
        <v>398</v>
      </c>
    </row>
    <row r="4" spans="1:20" ht="15.75">
      <c r="A4" s="904" t="s">
        <v>65</v>
      </c>
      <c r="B4" s="904"/>
      <c r="C4" s="904"/>
      <c r="D4" s="904"/>
      <c r="E4" s="904"/>
      <c r="F4" s="904"/>
      <c r="G4" s="904"/>
      <c r="H4" s="904"/>
      <c r="I4" s="904"/>
      <c r="J4" s="904"/>
      <c r="K4" s="904"/>
      <c r="L4" s="904"/>
      <c r="M4" s="904"/>
      <c r="N4" s="904"/>
      <c r="O4" s="904"/>
      <c r="P4" s="904"/>
      <c r="Q4" s="904"/>
      <c r="R4" s="904"/>
      <c r="S4" s="904"/>
      <c r="T4" s="171"/>
    </row>
    <row r="5" spans="1:9" ht="12.75">
      <c r="A5" s="15"/>
      <c r="B5" s="15"/>
      <c r="C5" s="15"/>
      <c r="D5" s="15"/>
      <c r="E5" s="15"/>
      <c r="F5" s="16"/>
      <c r="G5" s="16"/>
      <c r="H5" s="4"/>
      <c r="I5" s="4"/>
    </row>
    <row r="6" spans="1:11" ht="15">
      <c r="A6" s="15"/>
      <c r="B6" s="15" t="s">
        <v>66</v>
      </c>
      <c r="C6" s="15"/>
      <c r="D6" s="15"/>
      <c r="E6" s="15"/>
      <c r="F6" s="17"/>
      <c r="G6" s="15"/>
      <c r="H6" s="4"/>
      <c r="I6" s="18" t="s">
        <v>28</v>
      </c>
      <c r="J6" s="176">
        <f>'Data sheet'!H5</f>
        <v>3</v>
      </c>
      <c r="K6" t="s">
        <v>15</v>
      </c>
    </row>
    <row r="7" spans="1:16" ht="15">
      <c r="A7" s="15"/>
      <c r="B7" s="15" t="s">
        <v>67</v>
      </c>
      <c r="C7" s="15"/>
      <c r="D7" s="15"/>
      <c r="E7" s="15"/>
      <c r="F7" s="17"/>
      <c r="G7" s="15"/>
      <c r="H7" s="97" t="s">
        <v>78</v>
      </c>
      <c r="I7" s="18" t="s">
        <v>28</v>
      </c>
      <c r="J7" s="2">
        <f>'Data sheet'!H6</f>
        <v>18</v>
      </c>
      <c r="K7" t="s">
        <v>138</v>
      </c>
      <c r="M7" s="20" t="s">
        <v>28</v>
      </c>
      <c r="N7" s="850">
        <f>J7*1000</f>
        <v>18000</v>
      </c>
      <c r="O7" s="850"/>
      <c r="P7" t="s">
        <v>75</v>
      </c>
    </row>
    <row r="8" spans="1:13" ht="15">
      <c r="A8" s="15"/>
      <c r="B8" s="15" t="s">
        <v>68</v>
      </c>
      <c r="C8" s="15"/>
      <c r="D8" s="15"/>
      <c r="E8" s="15"/>
      <c r="F8" s="17"/>
      <c r="G8" s="15"/>
      <c r="H8" s="4"/>
      <c r="I8" s="18" t="s">
        <v>28</v>
      </c>
      <c r="J8" s="2">
        <f>'Data sheet'!H7</f>
        <v>30</v>
      </c>
      <c r="K8" t="s">
        <v>74</v>
      </c>
      <c r="L8" s="9"/>
      <c r="M8" s="9"/>
    </row>
    <row r="9" spans="1:11" ht="15.75">
      <c r="A9" s="15"/>
      <c r="B9" s="4" t="s">
        <v>69</v>
      </c>
      <c r="C9" s="15"/>
      <c r="D9" s="4"/>
      <c r="E9" s="16"/>
      <c r="H9" s="98" t="s">
        <v>79</v>
      </c>
      <c r="I9" s="18" t="s">
        <v>28</v>
      </c>
      <c r="J9" s="2">
        <f>'Data sheet'!H8</f>
        <v>100</v>
      </c>
      <c r="K9" t="s">
        <v>138</v>
      </c>
    </row>
    <row r="10" spans="1:16" ht="15">
      <c r="A10" s="15"/>
      <c r="B10" s="15" t="s">
        <v>70</v>
      </c>
      <c r="C10" s="15"/>
      <c r="H10" s="11" t="s">
        <v>15</v>
      </c>
      <c r="I10" s="18" t="s">
        <v>28</v>
      </c>
      <c r="J10" s="2">
        <f>'Data sheet'!H9</f>
        <v>0.5</v>
      </c>
      <c r="M10" s="20" t="s">
        <v>28</v>
      </c>
      <c r="N10" s="1">
        <v>25</v>
      </c>
      <c r="P10" t="s">
        <v>32</v>
      </c>
    </row>
    <row r="11" spans="1:12" ht="12.75">
      <c r="A11" s="15"/>
      <c r="B11" s="15" t="s">
        <v>71</v>
      </c>
      <c r="E11" s="16"/>
      <c r="F11" s="7"/>
      <c r="I11" s="22" t="s">
        <v>28</v>
      </c>
      <c r="J11" s="16" t="s">
        <v>27</v>
      </c>
      <c r="K11" s="15">
        <f>'Data sheet'!E10</f>
        <v>20</v>
      </c>
      <c r="L11" s="7"/>
    </row>
    <row r="12" spans="1:12" ht="12.75">
      <c r="A12" s="15"/>
      <c r="B12" s="15" t="s">
        <v>72</v>
      </c>
      <c r="C12" s="15"/>
      <c r="D12" s="15"/>
      <c r="H12" s="16" t="s">
        <v>381</v>
      </c>
      <c r="I12" s="117" t="s">
        <v>28</v>
      </c>
      <c r="J12" s="16">
        <f>'Data sheet'!E11</f>
        <v>415</v>
      </c>
      <c r="K12" s="18"/>
      <c r="L12" s="7"/>
    </row>
    <row r="13" spans="1:24" ht="12.75">
      <c r="A13" s="15"/>
      <c r="B13" s="15" t="s">
        <v>109</v>
      </c>
      <c r="C13" s="15"/>
      <c r="D13" s="15"/>
      <c r="E13" s="16"/>
      <c r="H13" s="16"/>
      <c r="I13" s="117" t="s">
        <v>28</v>
      </c>
      <c r="J13" s="16">
        <f>'Data sheet'!H13</f>
        <v>30</v>
      </c>
      <c r="K13" s="4" t="s">
        <v>26</v>
      </c>
      <c r="L13" s="7"/>
      <c r="U13" s="978" t="s">
        <v>444</v>
      </c>
      <c r="V13" s="979"/>
      <c r="W13" s="979"/>
      <c r="X13" s="980"/>
    </row>
    <row r="14" spans="1:24" ht="12.75">
      <c r="A14" s="15"/>
      <c r="B14" s="15" t="str">
        <f>'Data sheet'!B14</f>
        <v>Surcharge angle</v>
      </c>
      <c r="C14" s="15"/>
      <c r="D14" s="15"/>
      <c r="E14" s="16"/>
      <c r="H14" s="337" t="s">
        <v>62</v>
      </c>
      <c r="I14" s="117" t="s">
        <v>28</v>
      </c>
      <c r="J14" s="16">
        <v>16</v>
      </c>
      <c r="K14" s="4" t="s">
        <v>74</v>
      </c>
      <c r="L14" s="7"/>
      <c r="U14" s="101" t="s">
        <v>80</v>
      </c>
      <c r="V14" s="102" t="s">
        <v>445</v>
      </c>
      <c r="W14" s="102" t="s">
        <v>446</v>
      </c>
      <c r="X14" s="102" t="s">
        <v>447</v>
      </c>
    </row>
    <row r="15" spans="1:24" ht="14.25">
      <c r="A15" s="15"/>
      <c r="B15" s="15" t="str">
        <f>'Data sheet'!B15</f>
        <v>Founadation depth </v>
      </c>
      <c r="C15" s="15"/>
      <c r="D15" s="15"/>
      <c r="E15" s="16"/>
      <c r="H15" s="16"/>
      <c r="I15" s="117" t="s">
        <v>28</v>
      </c>
      <c r="J15" s="17">
        <f>'Data sheet'!H15</f>
        <v>1</v>
      </c>
      <c r="K15" s="4" t="s">
        <v>15</v>
      </c>
      <c r="L15" s="7"/>
      <c r="U15" s="101" t="s">
        <v>448</v>
      </c>
      <c r="V15" s="338">
        <v>0.1736</v>
      </c>
      <c r="W15" s="338">
        <v>0.9848</v>
      </c>
      <c r="X15" s="338">
        <v>0.1763</v>
      </c>
    </row>
    <row r="16" spans="1:24" ht="14.25">
      <c r="A16" s="15"/>
      <c r="B16" s="15"/>
      <c r="C16" s="15"/>
      <c r="D16" s="15"/>
      <c r="E16" s="16"/>
      <c r="H16" s="16"/>
      <c r="I16" s="117"/>
      <c r="J16" s="16"/>
      <c r="K16" s="4"/>
      <c r="L16" s="7"/>
      <c r="U16" s="101" t="s">
        <v>449</v>
      </c>
      <c r="V16" s="338">
        <v>0.2588</v>
      </c>
      <c r="W16" s="338">
        <v>0.9659</v>
      </c>
      <c r="X16" s="338">
        <v>0.2679</v>
      </c>
    </row>
    <row r="17" spans="1:24" ht="15">
      <c r="A17" s="4">
        <v>1</v>
      </c>
      <c r="B17" s="19" t="s">
        <v>29</v>
      </c>
      <c r="C17" s="4"/>
      <c r="D17" t="s">
        <v>30</v>
      </c>
      <c r="G17" s="899" t="s">
        <v>31</v>
      </c>
      <c r="H17" s="899"/>
      <c r="I17" s="20" t="s">
        <v>28</v>
      </c>
      <c r="J17" s="2">
        <f>K11</f>
        <v>20</v>
      </c>
      <c r="U17" s="101" t="s">
        <v>450</v>
      </c>
      <c r="V17" s="338">
        <v>0.2756</v>
      </c>
      <c r="W17" s="338">
        <v>0.9612</v>
      </c>
      <c r="X17" s="338">
        <v>0.2867</v>
      </c>
    </row>
    <row r="18" spans="2:24" ht="14.25">
      <c r="B18" s="4"/>
      <c r="C18" s="4"/>
      <c r="U18" s="101" t="s">
        <v>451</v>
      </c>
      <c r="V18" s="338">
        <v>0.2923</v>
      </c>
      <c r="W18" s="338">
        <v>0.9563</v>
      </c>
      <c r="X18" s="338">
        <v>0.3057</v>
      </c>
    </row>
    <row r="19" spans="2:24" ht="18.75">
      <c r="B19" s="238" t="s">
        <v>390</v>
      </c>
      <c r="C19" s="21" t="s">
        <v>28</v>
      </c>
      <c r="D19" s="2">
        <f>'Data sheet'!H11</f>
        <v>230</v>
      </c>
      <c r="E19" t="s">
        <v>32</v>
      </c>
      <c r="H19" s="905" t="s">
        <v>33</v>
      </c>
      <c r="I19" s="905"/>
      <c r="J19" s="905"/>
      <c r="K19" s="22" t="s">
        <v>28</v>
      </c>
      <c r="L19" s="16">
        <f>'Data sheet'!H10</f>
        <v>25000</v>
      </c>
      <c r="M19" t="s">
        <v>32</v>
      </c>
      <c r="U19" s="101" t="s">
        <v>452</v>
      </c>
      <c r="V19" s="338">
        <v>0.309</v>
      </c>
      <c r="W19" s="338">
        <v>0.951</v>
      </c>
      <c r="X19" s="338">
        <v>0.3249</v>
      </c>
    </row>
    <row r="20" spans="2:24" ht="18.75">
      <c r="B20" s="238" t="s">
        <v>391</v>
      </c>
      <c r="C20" s="21" t="s">
        <v>28</v>
      </c>
      <c r="D20" s="2">
        <f>'Data sheet'!E12</f>
        <v>7</v>
      </c>
      <c r="E20" t="s">
        <v>34</v>
      </c>
      <c r="H20" s="905"/>
      <c r="I20" s="905"/>
      <c r="J20" s="905"/>
      <c r="K20" s="22"/>
      <c r="L20" s="7"/>
      <c r="U20" s="101" t="s">
        <v>453</v>
      </c>
      <c r="V20" s="338">
        <v>0.3255</v>
      </c>
      <c r="W20" s="338">
        <v>0.9455</v>
      </c>
      <c r="X20" s="338">
        <v>0.3443</v>
      </c>
    </row>
    <row r="21" spans="2:24" ht="15.75">
      <c r="B21" s="23" t="s">
        <v>15</v>
      </c>
      <c r="C21" s="21" t="s">
        <v>28</v>
      </c>
      <c r="D21" s="7">
        <v>13.33</v>
      </c>
      <c r="H21" s="14"/>
      <c r="I21" s="14"/>
      <c r="J21" s="14"/>
      <c r="K21" s="22"/>
      <c r="L21" s="7"/>
      <c r="U21" s="101" t="s">
        <v>454</v>
      </c>
      <c r="V21" s="338">
        <v>0.342</v>
      </c>
      <c r="W21" s="338">
        <v>0.9396</v>
      </c>
      <c r="X21" s="338">
        <v>0.3639</v>
      </c>
    </row>
    <row r="22" spans="2:24" ht="14.25">
      <c r="B22" s="909" t="s">
        <v>35</v>
      </c>
      <c r="C22" s="908" t="s">
        <v>36</v>
      </c>
      <c r="D22" s="908"/>
      <c r="E22" s="744" t="s">
        <v>28</v>
      </c>
      <c r="F22" s="906">
        <f>D21</f>
        <v>13.33</v>
      </c>
      <c r="G22" s="906"/>
      <c r="H22" s="26" t="s">
        <v>37</v>
      </c>
      <c r="I22" s="907">
        <f>D20</f>
        <v>7</v>
      </c>
      <c r="J22" s="907"/>
      <c r="K22" s="744" t="s">
        <v>28</v>
      </c>
      <c r="L22" s="934">
        <f>F22*I22/(J23+H23*F23)</f>
        <v>0.28860845628035015</v>
      </c>
      <c r="U22" s="101" t="s">
        <v>455</v>
      </c>
      <c r="V22" s="338">
        <v>0.3583</v>
      </c>
      <c r="W22" s="338">
        <v>0.9335</v>
      </c>
      <c r="X22" s="338">
        <v>0.3838</v>
      </c>
    </row>
    <row r="23" spans="2:24" ht="15.75">
      <c r="B23" s="898"/>
      <c r="C23" s="901" t="s">
        <v>38</v>
      </c>
      <c r="D23" s="901"/>
      <c r="E23" s="745"/>
      <c r="F23" s="28">
        <f>D21</f>
        <v>13.33</v>
      </c>
      <c r="G23" s="7" t="s">
        <v>37</v>
      </c>
      <c r="H23" s="7">
        <f>D20</f>
        <v>7</v>
      </c>
      <c r="I23" s="22" t="s">
        <v>39</v>
      </c>
      <c r="J23" s="7">
        <f>D19</f>
        <v>230</v>
      </c>
      <c r="K23" s="745"/>
      <c r="L23" s="934"/>
      <c r="U23" s="101" t="s">
        <v>456</v>
      </c>
      <c r="V23" s="338">
        <v>0.3746</v>
      </c>
      <c r="W23" s="338">
        <v>0.9271</v>
      </c>
      <c r="X23" s="338">
        <v>0.404</v>
      </c>
    </row>
    <row r="24" spans="2:24" ht="15.75">
      <c r="B24" s="29" t="s">
        <v>40</v>
      </c>
      <c r="C24" s="30" t="s">
        <v>28</v>
      </c>
      <c r="D24" s="7">
        <v>1</v>
      </c>
      <c r="E24" s="22" t="s">
        <v>41</v>
      </c>
      <c r="F24" s="31">
        <f>L22</f>
        <v>0.28860845628035015</v>
      </c>
      <c r="G24" s="7" t="s">
        <v>42</v>
      </c>
      <c r="H24" s="7">
        <v>3</v>
      </c>
      <c r="I24" s="22"/>
      <c r="J24" s="7"/>
      <c r="K24" s="22" t="s">
        <v>28</v>
      </c>
      <c r="L24" s="32">
        <f>1-L22/3</f>
        <v>0.9037971812398833</v>
      </c>
      <c r="M24" s="7"/>
      <c r="U24" s="101" t="s">
        <v>457</v>
      </c>
      <c r="V24" s="338">
        <v>0.3907</v>
      </c>
      <c r="W24" s="338">
        <v>0.9205</v>
      </c>
      <c r="X24" s="338">
        <v>0.4244</v>
      </c>
    </row>
    <row r="25" spans="2:24" ht="15.75">
      <c r="B25" s="4" t="s">
        <v>43</v>
      </c>
      <c r="C25" s="30" t="s">
        <v>28</v>
      </c>
      <c r="D25" s="7">
        <v>0.5</v>
      </c>
      <c r="E25" s="7" t="s">
        <v>37</v>
      </c>
      <c r="F25" s="7">
        <f>D20</f>
        <v>7</v>
      </c>
      <c r="G25" s="7" t="s">
        <v>37</v>
      </c>
      <c r="H25" s="31">
        <f>L24</f>
        <v>0.9037971812398833</v>
      </c>
      <c r="I25" s="7" t="s">
        <v>37</v>
      </c>
      <c r="J25" s="31">
        <f>L22</f>
        <v>0.28860845628035015</v>
      </c>
      <c r="K25" s="22" t="s">
        <v>28</v>
      </c>
      <c r="L25" s="95">
        <f>J25*H25*F25*D25</f>
        <v>0.9129522824386109</v>
      </c>
      <c r="M25" s="95"/>
      <c r="U25" s="101" t="s">
        <v>458</v>
      </c>
      <c r="V25" s="338">
        <v>0.4067</v>
      </c>
      <c r="W25" s="338">
        <v>0.9235</v>
      </c>
      <c r="X25" s="338">
        <v>0.4452</v>
      </c>
    </row>
    <row r="26" spans="3:24" ht="14.25">
      <c r="C26" s="4"/>
      <c r="K26" s="7"/>
      <c r="U26" s="101" t="s">
        <v>459</v>
      </c>
      <c r="V26" s="338">
        <v>0.422</v>
      </c>
      <c r="W26" s="338">
        <v>0.9063</v>
      </c>
      <c r="X26" s="338">
        <v>0.4663</v>
      </c>
    </row>
    <row r="27" spans="1:24" ht="14.25">
      <c r="A27">
        <v>2</v>
      </c>
      <c r="B27" s="232" t="s">
        <v>81</v>
      </c>
      <c r="C27" s="4"/>
      <c r="D27" s="12"/>
      <c r="E27" s="12"/>
      <c r="F27" s="12"/>
      <c r="G27" s="12"/>
      <c r="H27" s="12"/>
      <c r="I27" s="12"/>
      <c r="J27" s="12"/>
      <c r="K27" s="12"/>
      <c r="L27" s="12"/>
      <c r="M27" s="12"/>
      <c r="N27" s="12"/>
      <c r="O27" s="12"/>
      <c r="P27" s="12"/>
      <c r="Q27" s="12"/>
      <c r="R27" s="12"/>
      <c r="S27" s="12"/>
      <c r="U27" s="101" t="s">
        <v>460</v>
      </c>
      <c r="V27" s="338">
        <v>0.573</v>
      </c>
      <c r="W27" s="338">
        <v>0.8191</v>
      </c>
      <c r="X27" s="338">
        <v>0.7</v>
      </c>
    </row>
    <row r="28" spans="2:24" ht="14.25">
      <c r="B28" s="232"/>
      <c r="C28" s="4"/>
      <c r="D28" s="12" t="s">
        <v>441</v>
      </c>
      <c r="E28" s="25" t="s">
        <v>28</v>
      </c>
      <c r="F28" s="229">
        <f>VLOOKUP(J14,degree!A3:B22,2)</f>
        <v>0.2756</v>
      </c>
      <c r="G28" s="12"/>
      <c r="H28" s="12" t="s">
        <v>442</v>
      </c>
      <c r="I28" s="25" t="s">
        <v>28</v>
      </c>
      <c r="J28" s="12">
        <f>VLOOKUP(J14,degree!A3:D22,3)</f>
        <v>0.9612</v>
      </c>
      <c r="K28" s="12"/>
      <c r="L28" s="12" t="s">
        <v>443</v>
      </c>
      <c r="M28" s="25" t="s">
        <v>28</v>
      </c>
      <c r="N28" s="12">
        <f>VLOOKUP(J14,degree!A3:D22,4)</f>
        <v>0.2867</v>
      </c>
      <c r="O28" s="12"/>
      <c r="P28" s="12"/>
      <c r="Q28" s="12"/>
      <c r="R28" s="12"/>
      <c r="S28" s="12"/>
      <c r="U28" s="101" t="s">
        <v>461</v>
      </c>
      <c r="V28" s="338">
        <v>0.643</v>
      </c>
      <c r="W28" s="338">
        <v>0.766</v>
      </c>
      <c r="X28" s="338">
        <v>0.8391</v>
      </c>
    </row>
    <row r="29" spans="2:24" ht="14.25">
      <c r="B29" s="232"/>
      <c r="C29" s="4"/>
      <c r="D29" s="12" t="s">
        <v>467</v>
      </c>
      <c r="E29" s="25" t="s">
        <v>28</v>
      </c>
      <c r="F29" s="12">
        <f>VLOOKUP(J8,degree!A3:D22,2)</f>
        <v>0.5</v>
      </c>
      <c r="G29" s="12"/>
      <c r="H29" s="12" t="s">
        <v>468</v>
      </c>
      <c r="I29" s="25" t="s">
        <v>28</v>
      </c>
      <c r="J29" s="12">
        <f>VLOOKUP(J8,degree!A4:D23,3)</f>
        <v>0.866</v>
      </c>
      <c r="K29" s="12"/>
      <c r="L29" s="12"/>
      <c r="M29" s="12"/>
      <c r="N29" s="12"/>
      <c r="O29" s="12"/>
      <c r="P29" s="12"/>
      <c r="Q29" s="12"/>
      <c r="R29" s="12"/>
      <c r="S29" s="12"/>
      <c r="U29" s="101" t="s">
        <v>462</v>
      </c>
      <c r="V29" s="338">
        <v>0.707</v>
      </c>
      <c r="W29" s="338">
        <v>0.7071</v>
      </c>
      <c r="X29" s="338">
        <v>1</v>
      </c>
    </row>
    <row r="30" spans="2:24" ht="14.25">
      <c r="B30" s="232"/>
      <c r="C30" s="4"/>
      <c r="D30" s="12"/>
      <c r="E30" s="12"/>
      <c r="F30" s="12"/>
      <c r="G30" s="12"/>
      <c r="H30" s="12"/>
      <c r="I30" s="12"/>
      <c r="J30" s="12"/>
      <c r="K30" s="12"/>
      <c r="L30" s="12"/>
      <c r="M30" s="12"/>
      <c r="U30" s="101" t="s">
        <v>463</v>
      </c>
      <c r="V30" s="338">
        <v>0.766</v>
      </c>
      <c r="W30" s="338">
        <v>0.6427</v>
      </c>
      <c r="X30" s="338">
        <v>1.1917</v>
      </c>
    </row>
    <row r="31" spans="2:24" ht="14.25" customHeight="1">
      <c r="B31" s="983" t="s">
        <v>469</v>
      </c>
      <c r="C31" s="748" t="s">
        <v>28</v>
      </c>
      <c r="D31" s="745" t="s">
        <v>442</v>
      </c>
      <c r="E31" s="351" t="s">
        <v>470</v>
      </c>
      <c r="G31" s="352"/>
      <c r="H31" s="352"/>
      <c r="I31" s="743" t="s">
        <v>28</v>
      </c>
      <c r="J31" s="745">
        <f>J28</f>
        <v>0.9612</v>
      </c>
      <c r="K31" s="745" t="s">
        <v>37</v>
      </c>
      <c r="L31" s="355">
        <f>J28</f>
        <v>0.9612</v>
      </c>
      <c r="M31" s="49" t="s">
        <v>41</v>
      </c>
      <c r="N31" s="88">
        <f>J28^2</f>
        <v>0.9239054400000001</v>
      </c>
      <c r="O31" s="120" t="s">
        <v>41</v>
      </c>
      <c r="P31" s="88">
        <f>J29^2</f>
        <v>0.749956</v>
      </c>
      <c r="Q31" s="744" t="s">
        <v>28</v>
      </c>
      <c r="R31" s="740">
        <f>J31*(L31-(N31-P31)^0.5)/(L32+(N32-P32)^0.5)</f>
        <v>0.37947169491452154</v>
      </c>
      <c r="U31" s="101" t="s">
        <v>464</v>
      </c>
      <c r="V31" s="338">
        <v>0.819</v>
      </c>
      <c r="W31" s="338">
        <v>0.5735</v>
      </c>
      <c r="X31" s="338">
        <v>1.4281</v>
      </c>
    </row>
    <row r="32" spans="2:24" ht="14.25" customHeight="1">
      <c r="B32" s="983"/>
      <c r="C32" s="748"/>
      <c r="D32" s="745"/>
      <c r="E32" s="78" t="s">
        <v>471</v>
      </c>
      <c r="G32" s="353"/>
      <c r="H32" s="353"/>
      <c r="I32" s="743"/>
      <c r="J32" s="745"/>
      <c r="K32" s="745"/>
      <c r="L32" s="356">
        <f>J28</f>
        <v>0.9612</v>
      </c>
      <c r="M32" s="357" t="s">
        <v>39</v>
      </c>
      <c r="N32" s="350">
        <f>J28^2</f>
        <v>0.9239054400000001</v>
      </c>
      <c r="O32" s="354" t="s">
        <v>41</v>
      </c>
      <c r="P32" s="180">
        <f>J29^2</f>
        <v>0.749956</v>
      </c>
      <c r="Q32" s="745"/>
      <c r="R32" s="740"/>
      <c r="U32" s="101" t="s">
        <v>465</v>
      </c>
      <c r="V32" s="338">
        <v>0.866</v>
      </c>
      <c r="W32" s="338">
        <v>0.5</v>
      </c>
      <c r="X32" s="338">
        <v>1.732</v>
      </c>
    </row>
    <row r="33" spans="3:24" ht="14.25">
      <c r="C33" s="37" t="s">
        <v>472</v>
      </c>
      <c r="G33" s="28"/>
      <c r="N33" s="12"/>
      <c r="O33" s="12"/>
      <c r="P33" s="12"/>
      <c r="Q33" s="12"/>
      <c r="R33" s="12"/>
      <c r="S33" s="12"/>
      <c r="U33" s="101" t="s">
        <v>466</v>
      </c>
      <c r="V33" s="338">
        <v>0.906</v>
      </c>
      <c r="W33" s="338">
        <v>0.4226</v>
      </c>
      <c r="X33" s="338">
        <v>2.1445</v>
      </c>
    </row>
    <row r="34" spans="2:18" ht="15.75">
      <c r="B34" s="935" t="s">
        <v>58</v>
      </c>
      <c r="C34" s="748" t="s">
        <v>28</v>
      </c>
      <c r="D34" s="745">
        <v>1</v>
      </c>
      <c r="E34" s="744" t="s">
        <v>41</v>
      </c>
      <c r="F34" s="72" t="s">
        <v>79</v>
      </c>
      <c r="G34" s="744" t="s">
        <v>28</v>
      </c>
      <c r="H34" s="745">
        <v>1</v>
      </c>
      <c r="I34" s="744" t="s">
        <v>41</v>
      </c>
      <c r="J34" s="930">
        <f>J9</f>
        <v>100</v>
      </c>
      <c r="K34" s="930"/>
      <c r="L34" s="930"/>
      <c r="M34" s="930"/>
      <c r="N34" s="930"/>
      <c r="O34" s="744" t="s">
        <v>28</v>
      </c>
      <c r="P34" s="740">
        <f>H34-(J34/(J35*L35*N35))</f>
        <v>0.48559670781893005</v>
      </c>
      <c r="Q34" s="740"/>
      <c r="R34" s="936" t="s">
        <v>82</v>
      </c>
    </row>
    <row r="35" spans="2:18" ht="12.75">
      <c r="B35" s="935"/>
      <c r="C35" s="936"/>
      <c r="D35" s="745"/>
      <c r="E35" s="745"/>
      <c r="F35" s="12" t="s">
        <v>439</v>
      </c>
      <c r="G35" s="745"/>
      <c r="H35" s="745"/>
      <c r="I35" s="745"/>
      <c r="J35" s="12">
        <v>2.7</v>
      </c>
      <c r="K35" s="28" t="s">
        <v>37</v>
      </c>
      <c r="L35" s="12">
        <f>J7</f>
        <v>18</v>
      </c>
      <c r="M35" s="12" t="s">
        <v>37</v>
      </c>
      <c r="N35" s="13">
        <f>J6+J15</f>
        <v>4</v>
      </c>
      <c r="O35" s="745"/>
      <c r="P35" s="740"/>
      <c r="Q35" s="740"/>
      <c r="R35" s="936"/>
    </row>
    <row r="36" spans="2:24" ht="14.25" customHeight="1">
      <c r="B36" s="115"/>
      <c r="C36" s="100"/>
      <c r="D36" s="39"/>
      <c r="E36" s="28" t="s">
        <v>476</v>
      </c>
      <c r="F36" s="114"/>
      <c r="I36" s="12"/>
      <c r="J36" s="12"/>
      <c r="K36" s="12"/>
      <c r="L36" s="12"/>
      <c r="M36" s="12"/>
      <c r="N36" s="12"/>
      <c r="O36" s="12"/>
      <c r="P36" s="27"/>
      <c r="Q36" s="27"/>
      <c r="R36" s="50"/>
      <c r="S36" s="12"/>
      <c r="T36" s="70"/>
      <c r="U36" s="75"/>
      <c r="V36" s="80"/>
      <c r="W36" s="12"/>
      <c r="X36" s="181"/>
    </row>
    <row r="37" spans="3:24" ht="15.75">
      <c r="C37" s="744"/>
      <c r="D37" s="898" t="s">
        <v>62</v>
      </c>
      <c r="E37" s="937" t="s">
        <v>28</v>
      </c>
      <c r="F37" s="745" t="s">
        <v>475</v>
      </c>
      <c r="G37" t="s">
        <v>37</v>
      </c>
      <c r="H37" s="746" t="s">
        <v>473</v>
      </c>
      <c r="I37" s="746"/>
      <c r="J37" s="746"/>
      <c r="T37" s="94"/>
      <c r="U37" s="94"/>
      <c r="V37" s="94"/>
      <c r="W37" s="210"/>
      <c r="X37" s="334"/>
    </row>
    <row r="38" spans="3:10" ht="12.75">
      <c r="C38" s="744"/>
      <c r="D38" s="898"/>
      <c r="E38" s="754"/>
      <c r="F38" s="745"/>
      <c r="H38" s="747" t="s">
        <v>474</v>
      </c>
      <c r="I38" s="747"/>
      <c r="J38" s="747"/>
    </row>
    <row r="39" spans="2:19" ht="12.75">
      <c r="B39" s="28"/>
      <c r="C39" s="62"/>
      <c r="D39" s="27"/>
      <c r="E39" s="12"/>
      <c r="F39" s="12"/>
      <c r="G39" s="12"/>
      <c r="H39" s="12"/>
      <c r="I39" s="12"/>
      <c r="J39" s="12"/>
      <c r="K39" s="12"/>
      <c r="L39" s="12"/>
      <c r="M39" s="12"/>
      <c r="N39" s="12"/>
      <c r="O39" s="12"/>
      <c r="P39" s="12"/>
      <c r="Q39" s="12"/>
      <c r="R39" s="12"/>
      <c r="S39" s="12"/>
    </row>
    <row r="40" spans="4:19" ht="15">
      <c r="D40" s="898" t="s">
        <v>62</v>
      </c>
      <c r="E40" s="748" t="s">
        <v>28</v>
      </c>
      <c r="F40" s="900">
        <f>N35</f>
        <v>4</v>
      </c>
      <c r="G40" s="28" t="s">
        <v>37</v>
      </c>
      <c r="H40" s="741">
        <f>R31</f>
        <v>0.37947169491452154</v>
      </c>
      <c r="I40" s="741"/>
      <c r="J40" s="335" t="s">
        <v>37</v>
      </c>
      <c r="K40" s="742">
        <f>J28</f>
        <v>0.9612</v>
      </c>
      <c r="L40" s="742"/>
      <c r="M40" s="358"/>
      <c r="N40" s="358"/>
      <c r="O40" s="358"/>
      <c r="P40" s="902" t="s">
        <v>28</v>
      </c>
      <c r="Q40" s="740">
        <f>F40*(H40*K40/((H41-J41)*(L41+N41)))^0.5</f>
        <v>2.1489220761497383</v>
      </c>
      <c r="R40" s="740"/>
      <c r="S40" s="936" t="s">
        <v>15</v>
      </c>
    </row>
    <row r="41" spans="4:19" ht="15">
      <c r="D41" s="898"/>
      <c r="E41" s="936"/>
      <c r="F41" s="900"/>
      <c r="G41" s="27" t="s">
        <v>85</v>
      </c>
      <c r="H41" s="12">
        <v>1</v>
      </c>
      <c r="I41" s="25" t="s">
        <v>41</v>
      </c>
      <c r="J41" s="13">
        <f>P34</f>
        <v>0.48559670781893005</v>
      </c>
      <c r="K41" s="12" t="s">
        <v>84</v>
      </c>
      <c r="L41" s="12">
        <v>1</v>
      </c>
      <c r="M41" s="25" t="s">
        <v>39</v>
      </c>
      <c r="N41" s="13">
        <f>3*J41</f>
        <v>1.4567901234567902</v>
      </c>
      <c r="O41" s="28" t="s">
        <v>86</v>
      </c>
      <c r="P41" s="903"/>
      <c r="Q41" s="740"/>
      <c r="R41" s="740"/>
      <c r="S41" s="936"/>
    </row>
    <row r="42" spans="2:20" ht="17.25" customHeight="1">
      <c r="B42" s="745" t="s">
        <v>87</v>
      </c>
      <c r="C42" s="745"/>
      <c r="D42" s="745"/>
      <c r="E42" s="745"/>
      <c r="F42" s="745"/>
      <c r="G42" s="745"/>
      <c r="H42" s="745"/>
      <c r="I42" s="745"/>
      <c r="J42" s="745"/>
      <c r="K42" s="745"/>
      <c r="L42" s="745"/>
      <c r="M42" s="745"/>
      <c r="N42" s="745"/>
      <c r="O42" s="745"/>
      <c r="P42" s="745"/>
      <c r="Q42" s="745"/>
      <c r="R42" s="745"/>
      <c r="S42" s="745"/>
      <c r="T42" s="12"/>
    </row>
    <row r="43" spans="2:20" ht="13.5" customHeight="1">
      <c r="B43" s="898" t="s">
        <v>62</v>
      </c>
      <c r="C43" s="744" t="s">
        <v>28</v>
      </c>
      <c r="D43" s="745" t="s">
        <v>88</v>
      </c>
      <c r="E43" s="745"/>
      <c r="F43" s="744" t="s">
        <v>28</v>
      </c>
      <c r="G43" s="930">
        <v>0.7</v>
      </c>
      <c r="H43" s="930"/>
      <c r="I43" s="72" t="s">
        <v>37</v>
      </c>
      <c r="J43" s="109">
        <f>N35</f>
        <v>4</v>
      </c>
      <c r="K43" s="72" t="s">
        <v>37</v>
      </c>
      <c r="L43" s="109">
        <f>H40</f>
        <v>0.37947169491452154</v>
      </c>
      <c r="M43" s="744" t="s">
        <v>28</v>
      </c>
      <c r="N43" s="900">
        <f>G43*J43*L43/((H44-J44)*L44)</f>
        <v>4.131080659517447</v>
      </c>
      <c r="O43" s="900"/>
      <c r="P43" s="745" t="s">
        <v>15</v>
      </c>
      <c r="Q43" s="12"/>
      <c r="R43" s="12"/>
      <c r="S43" s="12"/>
      <c r="T43" s="181"/>
    </row>
    <row r="44" spans="2:23" ht="12.75" customHeight="1">
      <c r="B44" s="898"/>
      <c r="C44" s="744"/>
      <c r="D44" s="745" t="s">
        <v>89</v>
      </c>
      <c r="E44" s="745"/>
      <c r="F44" s="744"/>
      <c r="G44" s="28" t="s">
        <v>85</v>
      </c>
      <c r="H44" s="12">
        <v>1</v>
      </c>
      <c r="I44" s="25" t="s">
        <v>41</v>
      </c>
      <c r="J44" s="13">
        <f>J41</f>
        <v>0.48559670781893005</v>
      </c>
      <c r="K44" s="12" t="s">
        <v>90</v>
      </c>
      <c r="L44" s="12">
        <f>J10</f>
        <v>0.5</v>
      </c>
      <c r="M44" s="745"/>
      <c r="N44" s="900"/>
      <c r="O44" s="900"/>
      <c r="P44" s="745"/>
      <c r="Q44" s="12"/>
      <c r="R44" s="12"/>
      <c r="S44" s="12"/>
      <c r="T44" s="181"/>
      <c r="W44" s="10"/>
    </row>
    <row r="45" spans="2:20" ht="12.75">
      <c r="B45" s="745" t="s">
        <v>92</v>
      </c>
      <c r="C45" s="745"/>
      <c r="D45" s="745"/>
      <c r="E45" s="745"/>
      <c r="F45" s="745"/>
      <c r="G45" s="745"/>
      <c r="H45" s="745"/>
      <c r="I45" s="745"/>
      <c r="J45" s="745"/>
      <c r="K45" s="745"/>
      <c r="L45" s="745"/>
      <c r="M45" s="745"/>
      <c r="N45" s="745"/>
      <c r="O45" s="745"/>
      <c r="P45" s="745"/>
      <c r="Q45" s="745"/>
      <c r="R45" s="745"/>
      <c r="S45" s="745"/>
      <c r="T45" s="12"/>
    </row>
    <row r="46" spans="2:20" ht="12.75">
      <c r="B46" s="898" t="s">
        <v>91</v>
      </c>
      <c r="C46" s="898"/>
      <c r="D46" s="898"/>
      <c r="E46" s="898"/>
      <c r="F46" s="240">
        <v>0.6</v>
      </c>
      <c r="G46" s="28"/>
      <c r="H46" s="12" t="s">
        <v>62</v>
      </c>
      <c r="I46" s="25" t="s">
        <v>28</v>
      </c>
      <c r="J46" s="13">
        <f>F46</f>
        <v>0.6</v>
      </c>
      <c r="K46" s="12" t="s">
        <v>37</v>
      </c>
      <c r="L46" s="13">
        <f>J43</f>
        <v>4</v>
      </c>
      <c r="M46" s="25" t="s">
        <v>28</v>
      </c>
      <c r="N46" s="900">
        <f>L46*J46</f>
        <v>2.4</v>
      </c>
      <c r="O46" s="900"/>
      <c r="P46" s="12" t="s">
        <v>15</v>
      </c>
      <c r="Q46" s="12"/>
      <c r="R46" s="12"/>
      <c r="S46" s="12"/>
      <c r="T46" s="12"/>
    </row>
    <row r="47" spans="5:20" ht="15">
      <c r="E47" s="15"/>
      <c r="F47" s="142"/>
      <c r="H47" s="24" t="s">
        <v>93</v>
      </c>
      <c r="I47" s="25" t="s">
        <v>28</v>
      </c>
      <c r="J47" s="740">
        <f>MIN(N43,N46)</f>
        <v>2.4</v>
      </c>
      <c r="K47" s="740"/>
      <c r="L47" s="12" t="s">
        <v>15</v>
      </c>
      <c r="M47" s="12"/>
      <c r="N47" s="13"/>
      <c r="O47" s="13"/>
      <c r="P47" s="12"/>
      <c r="Q47" s="12"/>
      <c r="R47" s="12"/>
      <c r="S47" s="12"/>
      <c r="T47" s="12"/>
    </row>
    <row r="48" spans="2:22" ht="12.75">
      <c r="B48" s="899" t="s">
        <v>94</v>
      </c>
      <c r="C48" s="899"/>
      <c r="D48" s="899"/>
      <c r="E48" s="899"/>
      <c r="F48" s="899"/>
      <c r="G48" s="899"/>
      <c r="H48" s="899"/>
      <c r="I48" s="899"/>
      <c r="J48" s="899"/>
      <c r="K48" s="899"/>
      <c r="L48" s="899"/>
      <c r="M48" s="899"/>
      <c r="N48" s="899"/>
      <c r="O48" s="899"/>
      <c r="P48" s="899"/>
      <c r="Q48" s="899"/>
      <c r="R48" s="899"/>
      <c r="S48" s="899"/>
      <c r="T48" s="12"/>
      <c r="U48" s="7"/>
      <c r="V48" s="7"/>
    </row>
    <row r="49" spans="2:22" ht="15">
      <c r="B49" s="27" t="s">
        <v>95</v>
      </c>
      <c r="C49" s="25" t="s">
        <v>28</v>
      </c>
      <c r="D49" s="33" t="s">
        <v>96</v>
      </c>
      <c r="E49" s="25" t="s">
        <v>28</v>
      </c>
      <c r="F49" s="13">
        <f>P34</f>
        <v>0.48559670781893005</v>
      </c>
      <c r="G49" s="28" t="s">
        <v>37</v>
      </c>
      <c r="H49" s="13">
        <f>J47</f>
        <v>2.4</v>
      </c>
      <c r="I49" s="25" t="s">
        <v>28</v>
      </c>
      <c r="J49" s="13">
        <f>H49*F49</f>
        <v>1.165432098765432</v>
      </c>
      <c r="K49" s="37" t="s">
        <v>97</v>
      </c>
      <c r="L49" s="754" t="s">
        <v>115</v>
      </c>
      <c r="M49" s="754"/>
      <c r="N49" s="754"/>
      <c r="O49" s="754"/>
      <c r="P49" s="740">
        <f>ROUNDUP(J49,1)</f>
        <v>1.2000000000000002</v>
      </c>
      <c r="Q49" s="740"/>
      <c r="R49" s="12" t="s">
        <v>15</v>
      </c>
      <c r="S49" s="12"/>
      <c r="T49" s="12"/>
      <c r="U49" s="7"/>
      <c r="V49" s="7"/>
    </row>
    <row r="50" spans="2:22" ht="15">
      <c r="B50" s="237" t="s">
        <v>98</v>
      </c>
      <c r="C50" s="237"/>
      <c r="D50" s="237"/>
      <c r="E50" s="25" t="s">
        <v>28</v>
      </c>
      <c r="F50" t="s">
        <v>99</v>
      </c>
      <c r="G50" s="25" t="s">
        <v>28</v>
      </c>
      <c r="H50" s="13">
        <f>J43</f>
        <v>4</v>
      </c>
      <c r="I50" s="12" t="s">
        <v>42</v>
      </c>
      <c r="J50" s="12">
        <v>12</v>
      </c>
      <c r="K50" s="25" t="s">
        <v>28</v>
      </c>
      <c r="L50" s="13">
        <f>H50/J50</f>
        <v>0.3333333333333333</v>
      </c>
      <c r="M50" s="37" t="s">
        <v>100</v>
      </c>
      <c r="N50" s="12"/>
      <c r="O50" s="25" t="s">
        <v>28</v>
      </c>
      <c r="P50" s="336">
        <f>ROUND(L50,1)</f>
        <v>0.3</v>
      </c>
      <c r="Q50" s="12" t="s">
        <v>15</v>
      </c>
      <c r="R50" s="985" t="s">
        <v>101</v>
      </c>
      <c r="S50" s="986"/>
      <c r="T50" s="12"/>
      <c r="U50" s="7"/>
      <c r="V50" s="7"/>
    </row>
    <row r="51" spans="2:22" ht="15">
      <c r="B51" s="898" t="s">
        <v>126</v>
      </c>
      <c r="C51" s="898"/>
      <c r="D51" s="898"/>
      <c r="E51" s="25" t="s">
        <v>28</v>
      </c>
      <c r="F51" s="13">
        <f>J47</f>
        <v>2.4</v>
      </c>
      <c r="G51" s="25" t="s">
        <v>41</v>
      </c>
      <c r="H51" s="13">
        <f>P50</f>
        <v>0.3</v>
      </c>
      <c r="I51" s="25" t="s">
        <v>41</v>
      </c>
      <c r="J51" s="13">
        <f>P49</f>
        <v>1.2000000000000002</v>
      </c>
      <c r="K51" s="25" t="s">
        <v>28</v>
      </c>
      <c r="L51" s="39">
        <f>F51-H51-J51</f>
        <v>0.8999999999999999</v>
      </c>
      <c r="M51" s="12" t="s">
        <v>15</v>
      </c>
      <c r="O51" s="12"/>
      <c r="P51" s="12"/>
      <c r="Q51" s="12"/>
      <c r="R51" s="987"/>
      <c r="S51" s="988"/>
      <c r="T51" s="12"/>
      <c r="U51" s="7"/>
      <c r="V51" s="7"/>
    </row>
    <row r="52" spans="1:22" ht="14.25">
      <c r="A52">
        <v>3</v>
      </c>
      <c r="B52" s="231" t="s">
        <v>102</v>
      </c>
      <c r="C52" s="62"/>
      <c r="D52" s="12"/>
      <c r="E52" s="12"/>
      <c r="F52" s="12"/>
      <c r="G52" s="12"/>
      <c r="H52" s="12"/>
      <c r="I52" s="12"/>
      <c r="J52" s="12"/>
      <c r="K52" s="12"/>
      <c r="L52" s="12"/>
      <c r="M52" s="12"/>
      <c r="N52" s="12"/>
      <c r="O52" s="12"/>
      <c r="P52" s="12"/>
      <c r="Q52" s="12"/>
      <c r="R52" s="12"/>
      <c r="S52" s="12"/>
      <c r="T52" s="12"/>
      <c r="V52" s="7"/>
    </row>
    <row r="53" spans="2:22" ht="15">
      <c r="B53" s="28"/>
      <c r="C53" s="745" t="s">
        <v>103</v>
      </c>
      <c r="D53" s="745"/>
      <c r="E53" s="25" t="s">
        <v>28</v>
      </c>
      <c r="F53" s="13">
        <f>H50</f>
        <v>4</v>
      </c>
      <c r="G53" s="25" t="s">
        <v>41</v>
      </c>
      <c r="H53" s="13">
        <f>P50</f>
        <v>0.3</v>
      </c>
      <c r="I53" s="25" t="s">
        <v>28</v>
      </c>
      <c r="J53" s="39">
        <f>F53-H53</f>
        <v>3.7</v>
      </c>
      <c r="K53" s="12" t="s">
        <v>15</v>
      </c>
      <c r="L53" s="37" t="s">
        <v>397</v>
      </c>
      <c r="M53" s="12"/>
      <c r="N53" s="12"/>
      <c r="O53" s="12"/>
      <c r="P53" s="12"/>
      <c r="Q53" s="12"/>
      <c r="R53" s="12"/>
      <c r="S53" s="12"/>
      <c r="T53" s="12"/>
      <c r="V53" s="7"/>
    </row>
    <row r="54" spans="2:22" ht="15.75">
      <c r="B54" s="745" t="s">
        <v>105</v>
      </c>
      <c r="C54" s="745"/>
      <c r="D54" s="745"/>
      <c r="E54" s="745"/>
      <c r="F54" s="72" t="s">
        <v>104</v>
      </c>
      <c r="G54" s="77" t="s">
        <v>37</v>
      </c>
      <c r="H54" s="72" t="s">
        <v>440</v>
      </c>
      <c r="I54" s="744" t="s">
        <v>28</v>
      </c>
      <c r="J54" s="109">
        <f>R31</f>
        <v>0.37947169491452154</v>
      </c>
      <c r="K54" s="72" t="s">
        <v>37</v>
      </c>
      <c r="L54" s="72">
        <f>J7</f>
        <v>18</v>
      </c>
      <c r="M54" s="77" t="s">
        <v>45</v>
      </c>
      <c r="N54" s="109">
        <f>J53</f>
        <v>3.7</v>
      </c>
      <c r="O54" s="72" t="s">
        <v>141</v>
      </c>
      <c r="P54" s="928" t="s">
        <v>28</v>
      </c>
      <c r="Q54" s="900">
        <f>J54*L54*N54^2/J55</f>
        <v>46.7547075304182</v>
      </c>
      <c r="R54" s="900"/>
      <c r="S54" s="950" t="s">
        <v>106</v>
      </c>
      <c r="T54" s="12"/>
      <c r="V54" s="7"/>
    </row>
    <row r="55" spans="2:22" ht="12.75">
      <c r="B55" s="745"/>
      <c r="C55" s="745"/>
      <c r="D55" s="745"/>
      <c r="E55" s="745"/>
      <c r="F55" s="747">
        <v>2</v>
      </c>
      <c r="G55" s="747"/>
      <c r="H55" s="747"/>
      <c r="I55" s="744"/>
      <c r="J55" s="747">
        <f>F55</f>
        <v>2</v>
      </c>
      <c r="K55" s="747"/>
      <c r="L55" s="747"/>
      <c r="M55" s="747"/>
      <c r="N55" s="747"/>
      <c r="O55" s="747"/>
      <c r="P55" s="928"/>
      <c r="Q55" s="900"/>
      <c r="R55" s="900"/>
      <c r="S55" s="950"/>
      <c r="T55" s="12"/>
      <c r="V55" s="7"/>
    </row>
    <row r="56" spans="1:22" ht="15.75">
      <c r="A56" s="898" t="s">
        <v>477</v>
      </c>
      <c r="B56" s="898"/>
      <c r="C56" s="898"/>
      <c r="D56" s="898"/>
      <c r="E56" s="898"/>
      <c r="F56" s="898"/>
      <c r="G56" s="984" t="s">
        <v>478</v>
      </c>
      <c r="H56" s="984"/>
      <c r="I56" s="75" t="s">
        <v>28</v>
      </c>
      <c r="J56" s="76">
        <f>Q54</f>
        <v>46.7547075304182</v>
      </c>
      <c r="K56" s="70" t="s">
        <v>37</v>
      </c>
      <c r="L56" s="70">
        <f>J28</f>
        <v>0.9612</v>
      </c>
      <c r="M56" s="75" t="s">
        <v>28</v>
      </c>
      <c r="N56" s="70">
        <f>ROUND(J56*L56,)</f>
        <v>45</v>
      </c>
      <c r="O56" s="70"/>
      <c r="P56" s="224" t="s">
        <v>142</v>
      </c>
      <c r="Q56" s="13"/>
      <c r="R56" s="13"/>
      <c r="S56" s="175"/>
      <c r="T56" s="12"/>
      <c r="V56" s="7"/>
    </row>
    <row r="57" spans="1:22" ht="15.75" customHeight="1">
      <c r="A57" s="27"/>
      <c r="B57" s="27"/>
      <c r="C57" s="745" t="s">
        <v>479</v>
      </c>
      <c r="D57" s="745"/>
      <c r="E57" s="744" t="s">
        <v>28</v>
      </c>
      <c r="F57" s="745" t="s">
        <v>363</v>
      </c>
      <c r="G57" s="984" t="s">
        <v>37</v>
      </c>
      <c r="H57" s="70" t="s">
        <v>318</v>
      </c>
      <c r="I57" s="989" t="s">
        <v>28</v>
      </c>
      <c r="J57" s="990">
        <f>N56</f>
        <v>45</v>
      </c>
      <c r="K57" s="984" t="s">
        <v>37</v>
      </c>
      <c r="L57" s="76">
        <f>J6+J15-P50</f>
        <v>3.7</v>
      </c>
      <c r="M57" s="989" t="s">
        <v>28</v>
      </c>
      <c r="N57" s="984">
        <f>J57*L57/L58</f>
        <v>55.5</v>
      </c>
      <c r="O57" s="70"/>
      <c r="P57" s="991" t="s">
        <v>142</v>
      </c>
      <c r="Q57" s="13"/>
      <c r="R57" s="13"/>
      <c r="S57" s="175"/>
      <c r="T57" s="12"/>
      <c r="V57" s="7"/>
    </row>
    <row r="58" spans="1:22" ht="12.75">
      <c r="A58" s="27"/>
      <c r="B58" s="27"/>
      <c r="C58" s="745"/>
      <c r="D58" s="745"/>
      <c r="E58" s="744"/>
      <c r="F58" s="745"/>
      <c r="G58" s="984"/>
      <c r="H58" s="230">
        <v>3</v>
      </c>
      <c r="I58" s="989"/>
      <c r="J58" s="990"/>
      <c r="K58" s="984"/>
      <c r="L58" s="230">
        <f>3</f>
        <v>3</v>
      </c>
      <c r="M58" s="989"/>
      <c r="N58" s="984"/>
      <c r="O58" s="70"/>
      <c r="P58" s="991"/>
      <c r="Q58" s="13"/>
      <c r="R58" s="13"/>
      <c r="S58" s="175"/>
      <c r="T58" s="12"/>
      <c r="V58" s="7"/>
    </row>
    <row r="59" spans="2:22" ht="38.25">
      <c r="B59" s="929" t="s">
        <v>430</v>
      </c>
      <c r="C59" s="929"/>
      <c r="D59" s="929"/>
      <c r="E59" s="928" t="s">
        <v>28</v>
      </c>
      <c r="F59" s="291" t="s">
        <v>406</v>
      </c>
      <c r="G59" s="880" t="s">
        <v>28</v>
      </c>
      <c r="H59" s="131">
        <f>N57</f>
        <v>55.5</v>
      </c>
      <c r="I59" s="131" t="s">
        <v>37</v>
      </c>
      <c r="J59" s="132" t="s">
        <v>49</v>
      </c>
      <c r="M59" s="880" t="s">
        <v>28</v>
      </c>
      <c r="N59" s="916">
        <f>(H59*1000000/H60/J60)^0.5</f>
        <v>246.55990395549966</v>
      </c>
      <c r="O59" s="877" t="s">
        <v>26</v>
      </c>
      <c r="P59" s="877"/>
      <c r="Q59" s="47"/>
      <c r="R59" s="47"/>
      <c r="S59" s="60"/>
      <c r="T59" s="7"/>
      <c r="V59" s="7"/>
    </row>
    <row r="60" spans="2:22" ht="12.75">
      <c r="B60" s="929"/>
      <c r="C60" s="929"/>
      <c r="D60" s="929"/>
      <c r="E60" s="928"/>
      <c r="F60" s="290" t="s">
        <v>405</v>
      </c>
      <c r="G60" s="880"/>
      <c r="H60" s="103">
        <f>L25</f>
        <v>0.9129522824386109</v>
      </c>
      <c r="I60" s="44" t="s">
        <v>37</v>
      </c>
      <c r="J60" s="42">
        <f>1000</f>
        <v>1000</v>
      </c>
      <c r="M60" s="880"/>
      <c r="N60" s="916"/>
      <c r="O60" s="877"/>
      <c r="P60" s="877"/>
      <c r="Q60" s="47"/>
      <c r="R60" s="47"/>
      <c r="S60" s="60"/>
      <c r="T60" s="12"/>
      <c r="U60" s="142"/>
      <c r="V60" s="7"/>
    </row>
    <row r="61" spans="3:22" ht="38.25">
      <c r="C61" s="881" t="s">
        <v>107</v>
      </c>
      <c r="D61" s="881"/>
      <c r="E61" s="46" t="s">
        <v>28</v>
      </c>
      <c r="F61" s="81">
        <f>ROUNDUP(N59,-1)</f>
        <v>250</v>
      </c>
      <c r="G61" s="104" t="s">
        <v>108</v>
      </c>
      <c r="H61" s="44"/>
      <c r="I61" s="45"/>
      <c r="J61" s="60"/>
      <c r="K61" s="46"/>
      <c r="L61" s="42"/>
      <c r="M61" s="49" t="s">
        <v>28</v>
      </c>
      <c r="N61" s="41">
        <f>F61</f>
        <v>250</v>
      </c>
      <c r="O61" s="73" t="s">
        <v>39</v>
      </c>
      <c r="P61" s="44">
        <f>2*J13</f>
        <v>60</v>
      </c>
      <c r="Q61" s="46" t="s">
        <v>28</v>
      </c>
      <c r="R61" s="157">
        <f>N61+P61</f>
        <v>310</v>
      </c>
      <c r="S61" s="50" t="s">
        <v>26</v>
      </c>
      <c r="T61" s="173"/>
      <c r="U61" s="7"/>
      <c r="V61" s="7"/>
    </row>
    <row r="62" spans="2:22" ht="12.75">
      <c r="B62" s="8" t="s">
        <v>47</v>
      </c>
      <c r="C62" s="239">
        <f>'Data sheet'!F24</f>
        <v>12</v>
      </c>
      <c r="D62" s="52" t="s">
        <v>110</v>
      </c>
      <c r="E62" s="46"/>
      <c r="F62" s="103"/>
      <c r="G62" s="44"/>
      <c r="H62" s="60" t="s">
        <v>111</v>
      </c>
      <c r="I62" s="53"/>
      <c r="K62" s="46"/>
      <c r="L62" s="42">
        <f>P61</f>
        <v>60</v>
      </c>
      <c r="M62" s="49" t="s">
        <v>41</v>
      </c>
      <c r="N62" s="47">
        <f>C62/2</f>
        <v>6</v>
      </c>
      <c r="O62" s="46" t="s">
        <v>28</v>
      </c>
      <c r="P62" s="42">
        <f>L62-N62</f>
        <v>54</v>
      </c>
      <c r="Q62" s="60" t="s">
        <v>26</v>
      </c>
      <c r="R62" s="53"/>
      <c r="T62" s="173"/>
      <c r="U62" s="7"/>
      <c r="V62" s="7"/>
    </row>
    <row r="63" spans="2:22" ht="12.75">
      <c r="B63" s="881" t="s">
        <v>112</v>
      </c>
      <c r="C63" s="881"/>
      <c r="D63" s="881"/>
      <c r="E63" s="46" t="s">
        <v>28</v>
      </c>
      <c r="F63" s="284">
        <f>ROUNDDOWN(F61,-2)</f>
        <v>200</v>
      </c>
      <c r="G63" s="60" t="s">
        <v>113</v>
      </c>
      <c r="H63" s="60"/>
      <c r="I63" s="105"/>
      <c r="J63" s="44"/>
      <c r="K63" s="46"/>
      <c r="L63" s="42"/>
      <c r="M63" s="47"/>
      <c r="N63" s="47"/>
      <c r="O63" s="46" t="s">
        <v>28</v>
      </c>
      <c r="P63" s="63">
        <f>F63-P61</f>
        <v>140</v>
      </c>
      <c r="Q63" s="47" t="s">
        <v>26</v>
      </c>
      <c r="R63" s="53"/>
      <c r="S63" s="60"/>
      <c r="T63" s="12"/>
      <c r="U63" s="7"/>
      <c r="V63" s="7"/>
    </row>
    <row r="64" spans="2:22" ht="15.75" customHeight="1">
      <c r="B64" s="8"/>
      <c r="C64" s="8"/>
      <c r="D64" s="890" t="s">
        <v>480</v>
      </c>
      <c r="E64" s="880" t="s">
        <v>28</v>
      </c>
      <c r="F64" s="284">
        <f>N56</f>
        <v>45</v>
      </c>
      <c r="G64" s="60" t="s">
        <v>37</v>
      </c>
      <c r="H64" s="60">
        <v>1000</v>
      </c>
      <c r="I64" s="896" t="s">
        <v>28</v>
      </c>
      <c r="J64" s="886">
        <f>F64*H64/(F65*H65)</f>
        <v>0.18</v>
      </c>
      <c r="K64" s="886" t="s">
        <v>32</v>
      </c>
      <c r="L64" s="886"/>
      <c r="M64" s="886" t="s">
        <v>147</v>
      </c>
      <c r="N64" s="913" t="s">
        <v>481</v>
      </c>
      <c r="O64" s="913"/>
      <c r="P64" s="913"/>
      <c r="Q64" s="913"/>
      <c r="R64" s="913"/>
      <c r="S64" s="60"/>
      <c r="T64" s="12"/>
      <c r="U64" s="7"/>
      <c r="V64" s="7"/>
    </row>
    <row r="65" spans="4:22" ht="12.75">
      <c r="D65" s="890"/>
      <c r="E65" s="880"/>
      <c r="F65" s="362">
        <v>1000</v>
      </c>
      <c r="G65" s="233" t="s">
        <v>37</v>
      </c>
      <c r="H65" s="363">
        <f>F61</f>
        <v>250</v>
      </c>
      <c r="I65" s="895"/>
      <c r="J65" s="886"/>
      <c r="K65" s="886"/>
      <c r="L65" s="886"/>
      <c r="M65" s="886"/>
      <c r="N65" s="913"/>
      <c r="O65" s="913"/>
      <c r="P65" s="913"/>
      <c r="Q65" s="913"/>
      <c r="R65" s="913"/>
      <c r="S65" s="60"/>
      <c r="T65" s="12"/>
      <c r="U65" s="7"/>
      <c r="V65" s="7"/>
    </row>
    <row r="66" spans="1:21" ht="15.75" customHeight="1">
      <c r="A66">
        <v>4</v>
      </c>
      <c r="B66" s="697" t="s">
        <v>114</v>
      </c>
      <c r="C66" s="697"/>
      <c r="D66" s="697"/>
      <c r="E66" s="40"/>
      <c r="F66" s="40"/>
      <c r="G66" s="40"/>
      <c r="H66" s="40"/>
      <c r="I66" s="40"/>
      <c r="J66" s="40"/>
      <c r="K66" s="40"/>
      <c r="L66" s="40"/>
      <c r="M66" s="40"/>
      <c r="N66" s="40"/>
      <c r="O66" s="40"/>
      <c r="P66" s="40"/>
      <c r="Q66" s="40"/>
      <c r="R66" s="40"/>
      <c r="S66" s="40"/>
      <c r="T66" s="175"/>
      <c r="U66" s="28"/>
    </row>
    <row r="67" spans="2:21" ht="15.75" customHeight="1">
      <c r="B67" s="992" t="s">
        <v>482</v>
      </c>
      <c r="C67" s="992"/>
      <c r="D67" s="992"/>
      <c r="E67" s="368" t="s">
        <v>28</v>
      </c>
      <c r="F67" s="367">
        <f>J47</f>
        <v>2.4</v>
      </c>
      <c r="G67" s="366" t="s">
        <v>41</v>
      </c>
      <c r="H67" s="367">
        <f>P49</f>
        <v>1.2000000000000002</v>
      </c>
      <c r="I67" s="366" t="s">
        <v>41</v>
      </c>
      <c r="J67" s="40">
        <f>R61/1000</f>
        <v>0.31</v>
      </c>
      <c r="K67" s="366" t="s">
        <v>28</v>
      </c>
      <c r="L67" s="369">
        <f>F67-H67-J67</f>
        <v>0.8899999999999997</v>
      </c>
      <c r="M67" s="40" t="s">
        <v>15</v>
      </c>
      <c r="N67" s="40"/>
      <c r="O67" s="40"/>
      <c r="P67" s="40"/>
      <c r="Q67" s="40"/>
      <c r="R67" s="40"/>
      <c r="S67" s="40"/>
      <c r="T67" s="175"/>
      <c r="U67" s="28"/>
    </row>
    <row r="68" spans="2:21" ht="15.75" customHeight="1">
      <c r="B68" s="993" t="s">
        <v>501</v>
      </c>
      <c r="C68" s="994"/>
      <c r="D68" s="994"/>
      <c r="E68" s="368" t="s">
        <v>28</v>
      </c>
      <c r="F68" s="367">
        <f>L57</f>
        <v>3.7</v>
      </c>
      <c r="G68" s="366" t="s">
        <v>39</v>
      </c>
      <c r="H68" s="367">
        <f>L67</f>
        <v>0.8899999999999997</v>
      </c>
      <c r="I68" s="40" t="s">
        <v>37</v>
      </c>
      <c r="J68" s="40">
        <f>N28</f>
        <v>0.2867</v>
      </c>
      <c r="K68" s="366" t="s">
        <v>28</v>
      </c>
      <c r="L68" s="407">
        <f>F68+H68*J68</f>
        <v>3.955163</v>
      </c>
      <c r="M68" s="40" t="s">
        <v>15</v>
      </c>
      <c r="N68" s="40"/>
      <c r="O68" s="40"/>
      <c r="P68" s="40"/>
      <c r="Q68" s="40"/>
      <c r="R68" s="40"/>
      <c r="S68" s="40"/>
      <c r="T68" s="175"/>
      <c r="U68" s="28"/>
    </row>
    <row r="69" spans="2:21" ht="15.75" customHeight="1">
      <c r="B69" s="993" t="s">
        <v>483</v>
      </c>
      <c r="C69" s="993"/>
      <c r="D69" s="993"/>
      <c r="E69" s="368" t="s">
        <v>28</v>
      </c>
      <c r="F69" s="367">
        <f>L68</f>
        <v>3.955163</v>
      </c>
      <c r="G69" s="366" t="s">
        <v>39</v>
      </c>
      <c r="H69" s="367">
        <f>P50</f>
        <v>0.3</v>
      </c>
      <c r="I69" s="40"/>
      <c r="J69" s="40"/>
      <c r="K69" s="366" t="s">
        <v>28</v>
      </c>
      <c r="L69" s="408">
        <f>F69+H69</f>
        <v>4.2551630000000005</v>
      </c>
      <c r="M69" s="40" t="s">
        <v>15</v>
      </c>
      <c r="N69" s="40"/>
      <c r="O69" s="40"/>
      <c r="P69" s="40"/>
      <c r="Q69" s="40"/>
      <c r="R69" s="40"/>
      <c r="S69" s="40"/>
      <c r="T69" s="175"/>
      <c r="U69" s="28"/>
    </row>
    <row r="70" spans="2:21" ht="15.75" customHeight="1">
      <c r="B70" s="881" t="s">
        <v>493</v>
      </c>
      <c r="C70" s="881"/>
      <c r="D70" s="886" t="s">
        <v>309</v>
      </c>
      <c r="E70" s="886"/>
      <c r="F70" s="915" t="s">
        <v>28</v>
      </c>
      <c r="G70" s="46"/>
      <c r="H70" s="116">
        <f>J54</f>
        <v>0.37947169491452154</v>
      </c>
      <c r="I70" s="137" t="s">
        <v>37</v>
      </c>
      <c r="J70" s="69">
        <f>L54</f>
        <v>18</v>
      </c>
      <c r="K70" s="69" t="s">
        <v>45</v>
      </c>
      <c r="L70" s="116">
        <f>L69</f>
        <v>4.2551630000000005</v>
      </c>
      <c r="M70" s="60" t="s">
        <v>141</v>
      </c>
      <c r="N70" s="880" t="s">
        <v>28</v>
      </c>
      <c r="O70" s="889">
        <f>(H70*J70*L70^2)/J71</f>
        <v>61.83783818886723</v>
      </c>
      <c r="P70" s="889"/>
      <c r="Q70" s="877" t="s">
        <v>142</v>
      </c>
      <c r="R70" s="877"/>
      <c r="S70" s="886" t="s">
        <v>167</v>
      </c>
      <c r="T70" s="175"/>
      <c r="U70" s="28"/>
    </row>
    <row r="71" spans="2:21" ht="15.75" customHeight="1">
      <c r="B71" s="881"/>
      <c r="C71" s="881"/>
      <c r="D71" s="374">
        <v>2</v>
      </c>
      <c r="E71" s="149"/>
      <c r="F71" s="916"/>
      <c r="G71" s="46"/>
      <c r="H71" s="44"/>
      <c r="I71" s="105"/>
      <c r="J71" s="44">
        <v>2</v>
      </c>
      <c r="K71" s="46"/>
      <c r="L71" s="42"/>
      <c r="M71" s="60"/>
      <c r="N71" s="886"/>
      <c r="O71" s="889"/>
      <c r="P71" s="889"/>
      <c r="Q71" s="877"/>
      <c r="R71" s="877"/>
      <c r="S71" s="886"/>
      <c r="T71" s="175"/>
      <c r="U71" s="28"/>
    </row>
    <row r="72" spans="2:21" ht="15.75" customHeight="1">
      <c r="B72" s="8"/>
      <c r="C72" s="46"/>
      <c r="D72" s="1000" t="s">
        <v>484</v>
      </c>
      <c r="E72" s="1000"/>
      <c r="F72" s="1000"/>
      <c r="G72" s="1000"/>
      <c r="H72" s="1000"/>
      <c r="I72" s="1000"/>
      <c r="J72" s="1000"/>
      <c r="K72" s="46"/>
      <c r="L72" s="42"/>
      <c r="M72" s="60"/>
      <c r="N72" s="44"/>
      <c r="O72" s="136"/>
      <c r="P72" s="136"/>
      <c r="Q72" s="47"/>
      <c r="R72" s="47"/>
      <c r="S72" s="44"/>
      <c r="T72" s="175"/>
      <c r="U72" s="28"/>
    </row>
    <row r="73" spans="2:21" ht="15.75" customHeight="1">
      <c r="B73" s="8"/>
      <c r="C73" s="46"/>
      <c r="D73" s="360" t="s">
        <v>485</v>
      </c>
      <c r="E73" s="46" t="s">
        <v>28</v>
      </c>
      <c r="F73" s="90" t="s">
        <v>478</v>
      </c>
      <c r="G73" s="195" t="s">
        <v>28</v>
      </c>
      <c r="H73" s="87">
        <f>O70</f>
        <v>61.83783818886723</v>
      </c>
      <c r="I73" s="53" t="s">
        <v>37</v>
      </c>
      <c r="J73" s="44">
        <f>J28</f>
        <v>0.9612</v>
      </c>
      <c r="K73" s="46" t="s">
        <v>28</v>
      </c>
      <c r="L73" s="48">
        <f>H73*J73</f>
        <v>59.43853006713918</v>
      </c>
      <c r="M73" s="60"/>
      <c r="N73" s="44" t="str">
        <f>Q70</f>
        <v>kN</v>
      </c>
      <c r="O73" s="136"/>
      <c r="P73" s="136"/>
      <c r="Q73" s="47"/>
      <c r="R73" s="47"/>
      <c r="S73" s="44"/>
      <c r="T73" s="175"/>
      <c r="U73" s="28"/>
    </row>
    <row r="74" spans="2:21" ht="15.75" customHeight="1">
      <c r="B74" s="8"/>
      <c r="C74" s="46"/>
      <c r="D74" s="360" t="s">
        <v>486</v>
      </c>
      <c r="E74" s="46" t="s">
        <v>28</v>
      </c>
      <c r="F74" s="90" t="s">
        <v>487</v>
      </c>
      <c r="G74" s="86"/>
      <c r="H74" s="87">
        <f>O70</f>
        <v>61.83783818886723</v>
      </c>
      <c r="I74" s="53" t="s">
        <v>37</v>
      </c>
      <c r="J74" s="44">
        <f>F28</f>
        <v>0.2756</v>
      </c>
      <c r="K74" s="46" t="s">
        <v>28</v>
      </c>
      <c r="L74" s="48">
        <f>H74*J74</f>
        <v>17.04250820485181</v>
      </c>
      <c r="M74" s="60"/>
      <c r="N74" s="44" t="str">
        <f>N73</f>
        <v>kN</v>
      </c>
      <c r="O74" s="136"/>
      <c r="P74" s="136"/>
      <c r="Q74" s="47"/>
      <c r="R74" s="47"/>
      <c r="S74" s="44"/>
      <c r="T74" s="175"/>
      <c r="U74" s="28"/>
    </row>
    <row r="75" spans="2:21" ht="15.75" customHeight="1">
      <c r="B75" s="359"/>
      <c r="C75" s="995" t="s">
        <v>488</v>
      </c>
      <c r="D75" s="995"/>
      <c r="E75" s="995"/>
      <c r="F75" s="995"/>
      <c r="G75" s="995"/>
      <c r="H75" s="995"/>
      <c r="I75" s="995"/>
      <c r="J75" s="995"/>
      <c r="K75" s="995"/>
      <c r="L75" s="995"/>
      <c r="M75" s="995"/>
      <c r="N75" s="995"/>
      <c r="O75" s="995"/>
      <c r="P75" s="995"/>
      <c r="Q75" s="995"/>
      <c r="R75" s="118"/>
      <c r="S75" s="118"/>
      <c r="T75" s="175"/>
      <c r="U75" s="28"/>
    </row>
    <row r="76" spans="2:22" ht="15.75">
      <c r="B76" s="106"/>
      <c r="C76" s="107"/>
      <c r="D76" s="52" t="s">
        <v>116</v>
      </c>
      <c r="E76" s="54"/>
      <c r="F76" s="55"/>
      <c r="G76" s="54"/>
      <c r="H76" s="57"/>
      <c r="I76" s="108"/>
      <c r="J76" s="57"/>
      <c r="K76" s="54"/>
      <c r="L76" s="55"/>
      <c r="M76" s="56"/>
      <c r="N76" s="56"/>
      <c r="O76" s="54"/>
      <c r="P76" s="57"/>
      <c r="Q76" s="56"/>
      <c r="R76" s="58"/>
      <c r="S76" s="107"/>
      <c r="T76" s="175"/>
      <c r="U76" s="7"/>
      <c r="V76" s="7"/>
    </row>
    <row r="77" spans="2:22" ht="14.25" customHeight="1">
      <c r="B77" s="119" t="s">
        <v>118</v>
      </c>
      <c r="C77" s="46" t="s">
        <v>28</v>
      </c>
      <c r="D77" s="47" t="s">
        <v>117</v>
      </c>
      <c r="E77" s="46"/>
      <c r="F77" s="42"/>
      <c r="G77" s="46"/>
      <c r="H77" s="44"/>
      <c r="I77" s="105"/>
      <c r="J77" s="44"/>
      <c r="K77" s="46"/>
      <c r="L77" s="42"/>
      <c r="M77" s="47"/>
      <c r="N77" s="47"/>
      <c r="O77" s="46"/>
      <c r="P77" s="44"/>
      <c r="Q77" s="47"/>
      <c r="R77" s="53"/>
      <c r="S77" s="60"/>
      <c r="T77" s="60"/>
      <c r="U77" s="7"/>
      <c r="V77" s="7"/>
    </row>
    <row r="78" spans="2:22" ht="15.75">
      <c r="B78" s="119" t="s">
        <v>119</v>
      </c>
      <c r="C78" s="46" t="s">
        <v>28</v>
      </c>
      <c r="D78" s="47" t="s">
        <v>122</v>
      </c>
      <c r="E78" s="46"/>
      <c r="F78" s="42"/>
      <c r="G78" s="46"/>
      <c r="H78" s="44"/>
      <c r="I78" s="105"/>
      <c r="J78" s="44"/>
      <c r="K78" s="46"/>
      <c r="L78" s="42"/>
      <c r="M78" s="47"/>
      <c r="N78" s="47"/>
      <c r="O78" s="46"/>
      <c r="P78" s="44"/>
      <c r="Q78" s="47"/>
      <c r="R78" s="53"/>
      <c r="S78" s="60"/>
      <c r="T78" s="60"/>
      <c r="U78" s="7"/>
      <c r="V78" s="7"/>
    </row>
    <row r="79" spans="2:22" ht="13.5" customHeight="1">
      <c r="B79" s="119" t="s">
        <v>120</v>
      </c>
      <c r="C79" s="46" t="s">
        <v>28</v>
      </c>
      <c r="D79" s="47" t="s">
        <v>123</v>
      </c>
      <c r="E79" s="46"/>
      <c r="F79" s="42"/>
      <c r="G79" s="46"/>
      <c r="H79" s="44"/>
      <c r="I79" s="105"/>
      <c r="J79" s="44"/>
      <c r="K79" s="46"/>
      <c r="L79" s="42"/>
      <c r="M79" s="47"/>
      <c r="N79" s="47"/>
      <c r="O79" s="46"/>
      <c r="P79" s="44"/>
      <c r="Q79" s="47"/>
      <c r="R79" s="53"/>
      <c r="S79" s="60"/>
      <c r="T79" s="50"/>
      <c r="U79" s="7"/>
      <c r="V79" s="7"/>
    </row>
    <row r="80" spans="2:22" ht="15.75">
      <c r="B80" s="119" t="s">
        <v>121</v>
      </c>
      <c r="C80" s="46" t="s">
        <v>28</v>
      </c>
      <c r="D80" s="47" t="s">
        <v>124</v>
      </c>
      <c r="E80" s="46"/>
      <c r="F80" s="42"/>
      <c r="G80" s="46"/>
      <c r="H80" s="44"/>
      <c r="I80" s="105"/>
      <c r="J80" s="44"/>
      <c r="K80" s="46"/>
      <c r="L80" s="42"/>
      <c r="M80" s="47"/>
      <c r="N80" s="47"/>
      <c r="O80" s="46"/>
      <c r="P80" s="44"/>
      <c r="Q80" s="47"/>
      <c r="R80" s="53"/>
      <c r="S80" s="60"/>
      <c r="U80" s="7"/>
      <c r="V80" s="7"/>
    </row>
    <row r="81" spans="2:22" ht="13.5" customHeight="1">
      <c r="B81" s="119"/>
      <c r="C81" s="44"/>
      <c r="D81" s="47" t="s">
        <v>125</v>
      </c>
      <c r="E81" s="46"/>
      <c r="F81" s="42"/>
      <c r="G81" s="46"/>
      <c r="H81" s="44"/>
      <c r="I81" s="105"/>
      <c r="J81" s="44"/>
      <c r="K81" s="46"/>
      <c r="L81" s="42"/>
      <c r="M81" s="47"/>
      <c r="N81" s="47"/>
      <c r="O81" s="46"/>
      <c r="P81" s="44"/>
      <c r="Q81" s="47"/>
      <c r="R81" s="53"/>
      <c r="S81" s="60"/>
      <c r="T81" s="60"/>
      <c r="U81" s="7"/>
      <c r="V81" s="7"/>
    </row>
    <row r="82" spans="2:20" ht="12.75">
      <c r="B82" s="130"/>
      <c r="C82" s="879" t="s">
        <v>389</v>
      </c>
      <c r="D82" s="879"/>
      <c r="E82" s="879"/>
      <c r="F82" s="879"/>
      <c r="G82" s="879"/>
      <c r="H82" s="879"/>
      <c r="I82" s="879"/>
      <c r="J82" s="879"/>
      <c r="K82" s="879"/>
      <c r="L82" s="187" t="s">
        <v>388</v>
      </c>
      <c r="M82" s="187"/>
      <c r="N82" s="1001" t="s">
        <v>128</v>
      </c>
      <c r="O82" s="1001"/>
      <c r="P82" s="276" t="s">
        <v>133</v>
      </c>
      <c r="Q82" s="277"/>
      <c r="R82" s="126"/>
      <c r="S82" s="60"/>
      <c r="T82" s="40"/>
    </row>
    <row r="83" spans="2:20" ht="14.25" customHeight="1">
      <c r="B83" s="119"/>
      <c r="C83" s="123" t="s">
        <v>129</v>
      </c>
      <c r="D83" s="123">
        <v>1</v>
      </c>
      <c r="E83" s="123" t="s">
        <v>37</v>
      </c>
      <c r="F83" s="124">
        <f>F63/1000</f>
        <v>0.2</v>
      </c>
      <c r="G83" s="123" t="s">
        <v>37</v>
      </c>
      <c r="H83" s="124">
        <f>J53</f>
        <v>3.7</v>
      </c>
      <c r="I83" s="126" t="s">
        <v>37</v>
      </c>
      <c r="J83" s="123">
        <v>25</v>
      </c>
      <c r="K83" s="127" t="s">
        <v>28</v>
      </c>
      <c r="L83" s="932">
        <f>J83*H83*F83*D83</f>
        <v>18.5</v>
      </c>
      <c r="M83" s="932"/>
      <c r="N83" s="931">
        <f>P49+F84+F83/2</f>
        <v>1.4100000000000004</v>
      </c>
      <c r="O83" s="931"/>
      <c r="P83" s="879">
        <f>N83*J83*H83*F83*D83</f>
        <v>26.085000000000008</v>
      </c>
      <c r="Q83" s="879"/>
      <c r="R83" s="879"/>
      <c r="S83" s="60"/>
      <c r="T83" s="40"/>
    </row>
    <row r="84" spans="2:20" ht="15.75">
      <c r="B84" s="119"/>
      <c r="C84" s="123" t="s">
        <v>130</v>
      </c>
      <c r="D84" s="127" t="s">
        <v>127</v>
      </c>
      <c r="E84" s="123" t="s">
        <v>37</v>
      </c>
      <c r="F84" s="124">
        <f>(R61-F63)/1000</f>
        <v>0.11</v>
      </c>
      <c r="G84" s="123" t="s">
        <v>37</v>
      </c>
      <c r="H84" s="124">
        <f>H83</f>
        <v>3.7</v>
      </c>
      <c r="I84" s="126" t="s">
        <v>37</v>
      </c>
      <c r="J84" s="123">
        <f>J83</f>
        <v>25</v>
      </c>
      <c r="K84" s="127" t="s">
        <v>28</v>
      </c>
      <c r="L84" s="933">
        <f>J84*H84*F84*0.5</f>
        <v>5.0875</v>
      </c>
      <c r="M84" s="933"/>
      <c r="N84" s="931">
        <f>P49+F84/2</f>
        <v>1.2550000000000001</v>
      </c>
      <c r="O84" s="931"/>
      <c r="P84" s="876">
        <f>N84*J84*H84*F84*0.5</f>
        <v>6.384812500000002</v>
      </c>
      <c r="Q84" s="876"/>
      <c r="R84" s="876"/>
      <c r="S84" s="60"/>
      <c r="T84" s="107"/>
    </row>
    <row r="85" spans="2:20" ht="15.75">
      <c r="B85" s="119"/>
      <c r="C85" s="123" t="s">
        <v>131</v>
      </c>
      <c r="D85" s="123">
        <v>1</v>
      </c>
      <c r="E85" s="123" t="s">
        <v>37</v>
      </c>
      <c r="F85" s="124">
        <f>J47</f>
        <v>2.4</v>
      </c>
      <c r="G85" s="123" t="s">
        <v>37</v>
      </c>
      <c r="H85" s="124">
        <f>P50</f>
        <v>0.3</v>
      </c>
      <c r="I85" s="126" t="s">
        <v>37</v>
      </c>
      <c r="J85" s="123">
        <f>J84</f>
        <v>25</v>
      </c>
      <c r="K85" s="127" t="s">
        <v>28</v>
      </c>
      <c r="L85" s="932">
        <f>J85*H85*F85*D85</f>
        <v>18</v>
      </c>
      <c r="M85" s="932"/>
      <c r="N85" s="931">
        <f>F85/2</f>
        <v>1.2</v>
      </c>
      <c r="O85" s="931"/>
      <c r="P85" s="879">
        <f>N85*J85*H85*F85*D85</f>
        <v>21.599999999999998</v>
      </c>
      <c r="Q85" s="879"/>
      <c r="R85" s="879"/>
      <c r="S85" s="60"/>
      <c r="T85" s="60"/>
    </row>
    <row r="86" spans="2:20" ht="15.75">
      <c r="B86" s="119"/>
      <c r="C86" s="123" t="s">
        <v>132</v>
      </c>
      <c r="D86" s="123">
        <v>1</v>
      </c>
      <c r="E86" s="123" t="s">
        <v>37</v>
      </c>
      <c r="F86" s="124">
        <f>L51</f>
        <v>0.8999999999999999</v>
      </c>
      <c r="G86" s="123" t="s">
        <v>37</v>
      </c>
      <c r="H86" s="124">
        <f>(J53+L68)/2</f>
        <v>3.8275815</v>
      </c>
      <c r="I86" s="126" t="s">
        <v>37</v>
      </c>
      <c r="J86" s="123">
        <f>J7</f>
        <v>18</v>
      </c>
      <c r="K86" s="127" t="s">
        <v>28</v>
      </c>
      <c r="L86" s="933">
        <f>J86*H86*F86*D86</f>
        <v>62.006820299999994</v>
      </c>
      <c r="M86" s="933"/>
      <c r="N86" s="931">
        <f>F85-F86/2</f>
        <v>1.95</v>
      </c>
      <c r="O86" s="931"/>
      <c r="P86" s="876">
        <f>N86*J86*H86*F86*D86</f>
        <v>120.91329958499999</v>
      </c>
      <c r="Q86" s="876"/>
      <c r="R86" s="876"/>
      <c r="S86" s="60"/>
      <c r="T86" s="60"/>
    </row>
    <row r="87" spans="2:20" ht="15.75">
      <c r="B87" s="119"/>
      <c r="C87" s="123" t="s">
        <v>489</v>
      </c>
      <c r="D87" s="996" t="s">
        <v>490</v>
      </c>
      <c r="E87" s="997"/>
      <c r="F87" s="997"/>
      <c r="G87" s="997"/>
      <c r="H87" s="997"/>
      <c r="I87" s="997"/>
      <c r="J87" s="998"/>
      <c r="K87" s="127" t="s">
        <v>28</v>
      </c>
      <c r="L87" s="940">
        <f>L74</f>
        <v>17.04250820485181</v>
      </c>
      <c r="M87" s="999"/>
      <c r="N87" s="371">
        <f>J47</f>
        <v>2.4</v>
      </c>
      <c r="O87" s="370"/>
      <c r="P87" s="876">
        <f>N87*L87</f>
        <v>40.90201969164434</v>
      </c>
      <c r="Q87" s="876"/>
      <c r="R87" s="876"/>
      <c r="S87" s="60"/>
      <c r="T87" s="60"/>
    </row>
    <row r="88" spans="2:20" ht="15.75">
      <c r="B88" s="121"/>
      <c r="C88" s="123"/>
      <c r="D88" s="123"/>
      <c r="E88" s="127"/>
      <c r="F88" s="128"/>
      <c r="G88" s="127"/>
      <c r="H88" s="123"/>
      <c r="I88" s="129"/>
      <c r="J88" s="133" t="s">
        <v>134</v>
      </c>
      <c r="K88" s="127" t="s">
        <v>28</v>
      </c>
      <c r="L88" s="940">
        <f>SUM(L83:L87)</f>
        <v>120.6368285048518</v>
      </c>
      <c r="M88" s="941"/>
      <c r="N88" s="938" t="s">
        <v>136</v>
      </c>
      <c r="O88" s="939"/>
      <c r="P88" s="876">
        <f>SUM(P83:P87)</f>
        <v>215.88513177664436</v>
      </c>
      <c r="Q88" s="876"/>
      <c r="R88" s="876"/>
      <c r="S88" s="60"/>
      <c r="T88" s="60"/>
    </row>
    <row r="89" spans="2:20" ht="12.75">
      <c r="B89" s="121"/>
      <c r="C89" s="44"/>
      <c r="D89" s="89" t="s">
        <v>135</v>
      </c>
      <c r="E89" s="46" t="s">
        <v>28</v>
      </c>
      <c r="F89" s="885">
        <f>P88</f>
        <v>215.88513177664436</v>
      </c>
      <c r="G89" s="885"/>
      <c r="H89" s="44" t="s">
        <v>137</v>
      </c>
      <c r="I89" s="105"/>
      <c r="J89" s="44"/>
      <c r="K89" s="46"/>
      <c r="L89" s="42"/>
      <c r="M89" s="44"/>
      <c r="N89" s="44"/>
      <c r="O89" s="46"/>
      <c r="P89" s="44"/>
      <c r="Q89" s="44"/>
      <c r="R89" s="53"/>
      <c r="S89" s="44" t="s">
        <v>166</v>
      </c>
      <c r="T89" s="60"/>
    </row>
    <row r="90" spans="2:20" ht="12.75">
      <c r="B90" s="121"/>
      <c r="C90" s="44"/>
      <c r="D90" s="89"/>
      <c r="E90" s="46"/>
      <c r="F90" s="48"/>
      <c r="G90" s="48"/>
      <c r="H90" s="44"/>
      <c r="I90" s="105"/>
      <c r="J90" s="44"/>
      <c r="K90" s="46"/>
      <c r="L90" s="42"/>
      <c r="M90" s="44"/>
      <c r="N90" s="44"/>
      <c r="O90" s="46"/>
      <c r="P90" s="44"/>
      <c r="Q90" s="44"/>
      <c r="R90" s="53"/>
      <c r="S90" s="44"/>
      <c r="T90" s="60"/>
    </row>
    <row r="91" spans="2:20" ht="12.75">
      <c r="B91" s="910" t="s">
        <v>144</v>
      </c>
      <c r="C91" s="910"/>
      <c r="D91" s="911" t="s">
        <v>145</v>
      </c>
      <c r="E91" s="911"/>
      <c r="F91" s="911"/>
      <c r="G91" s="911"/>
      <c r="H91" s="911"/>
      <c r="I91" s="896" t="s">
        <v>28</v>
      </c>
      <c r="J91" s="886">
        <f>O70</f>
        <v>61.83783818886723</v>
      </c>
      <c r="K91" s="886" t="s">
        <v>37</v>
      </c>
      <c r="L91" s="42">
        <f>L70</f>
        <v>4.2551630000000005</v>
      </c>
      <c r="M91" s="880" t="s">
        <v>28</v>
      </c>
      <c r="N91" s="886">
        <f>J91*L91/L92</f>
        <v>87.7100270204183</v>
      </c>
      <c r="O91" s="886" t="s">
        <v>137</v>
      </c>
      <c r="P91" s="880"/>
      <c r="Q91" s="47"/>
      <c r="R91" s="53"/>
      <c r="S91" s="60"/>
      <c r="T91" s="60"/>
    </row>
    <row r="92" spans="2:20" ht="12.75">
      <c r="B92" s="8"/>
      <c r="C92" s="60"/>
      <c r="D92" s="911"/>
      <c r="E92" s="911"/>
      <c r="F92" s="911"/>
      <c r="G92" s="911"/>
      <c r="H92" s="911"/>
      <c r="I92" s="896"/>
      <c r="J92" s="886"/>
      <c r="K92" s="880"/>
      <c r="L92" s="207">
        <v>3</v>
      </c>
      <c r="M92" s="886"/>
      <c r="N92" s="886"/>
      <c r="O92" s="880"/>
      <c r="P92" s="880"/>
      <c r="Q92" s="47"/>
      <c r="R92" s="53"/>
      <c r="S92" s="60"/>
      <c r="T92" s="60"/>
    </row>
    <row r="93" spans="3:20" ht="12.75" customHeight="1">
      <c r="C93" s="912" t="s">
        <v>56</v>
      </c>
      <c r="D93" s="881" t="s">
        <v>146</v>
      </c>
      <c r="E93" s="881"/>
      <c r="F93" s="881"/>
      <c r="G93" s="881"/>
      <c r="H93" s="881"/>
      <c r="I93" s="896" t="s">
        <v>28</v>
      </c>
      <c r="J93" s="885">
        <f>F89</f>
        <v>215.88513177664436</v>
      </c>
      <c r="K93" s="885"/>
      <c r="L93" s="915" t="s">
        <v>28</v>
      </c>
      <c r="M93" s="885">
        <f>J93/J94</f>
        <v>2.4613506472456996</v>
      </c>
      <c r="N93" s="885"/>
      <c r="O93" s="886" t="s">
        <v>147</v>
      </c>
      <c r="P93" s="880">
        <v>2</v>
      </c>
      <c r="Q93" s="882" t="str">
        <f>IF(M93&gt;P93,"Hence safe","Hence not safe")</f>
        <v>Hence safe</v>
      </c>
      <c r="R93" s="882"/>
      <c r="S93" s="882"/>
      <c r="T93" s="60"/>
    </row>
    <row r="94" spans="2:20" ht="12.75">
      <c r="B94" s="8"/>
      <c r="C94" s="912"/>
      <c r="D94" s="881"/>
      <c r="E94" s="881"/>
      <c r="F94" s="881"/>
      <c r="G94" s="881"/>
      <c r="H94" s="881"/>
      <c r="I94" s="896"/>
      <c r="J94" s="942">
        <f>N91</f>
        <v>87.7100270204183</v>
      </c>
      <c r="K94" s="942"/>
      <c r="L94" s="916"/>
      <c r="M94" s="885"/>
      <c r="N94" s="885"/>
      <c r="O94" s="880"/>
      <c r="P94" s="880"/>
      <c r="Q94" s="882"/>
      <c r="R94" s="882"/>
      <c r="S94" s="882"/>
      <c r="T94" s="60"/>
    </row>
    <row r="95" spans="2:20" ht="12.75" customHeight="1">
      <c r="B95" s="881" t="s">
        <v>491</v>
      </c>
      <c r="C95" s="881"/>
      <c r="D95" s="881"/>
      <c r="E95" s="744" t="s">
        <v>28</v>
      </c>
      <c r="F95" s="122" t="s">
        <v>492</v>
      </c>
      <c r="G95" s="887" t="s">
        <v>28</v>
      </c>
      <c r="H95" s="125">
        <f>J10</f>
        <v>0.5</v>
      </c>
      <c r="I95" s="154" t="s">
        <v>37</v>
      </c>
      <c r="J95" s="885">
        <f>L88</f>
        <v>120.6368285048518</v>
      </c>
      <c r="K95" s="885"/>
      <c r="L95" s="915" t="s">
        <v>28</v>
      </c>
      <c r="M95" s="885">
        <f>H95*J95/H96</f>
        <v>1.0148032628716228</v>
      </c>
      <c r="N95" s="885"/>
      <c r="O95" s="886" t="str">
        <f>IF(M95&lt;P95,"&lt;","&gt;")</f>
        <v>&lt;</v>
      </c>
      <c r="P95" s="880">
        <v>1.5</v>
      </c>
      <c r="Q95" s="881"/>
      <c r="R95" s="881"/>
      <c r="S95" s="60"/>
      <c r="T95" s="60"/>
    </row>
    <row r="96" spans="2:20" ht="15.75">
      <c r="B96" s="881"/>
      <c r="C96" s="881"/>
      <c r="D96" s="881"/>
      <c r="E96" s="744"/>
      <c r="F96" s="150" t="s">
        <v>363</v>
      </c>
      <c r="G96" s="887"/>
      <c r="H96" s="1002">
        <f>L73</f>
        <v>59.43853006713918</v>
      </c>
      <c r="I96" s="1003"/>
      <c r="J96" s="1003"/>
      <c r="K96" s="1003"/>
      <c r="L96" s="916"/>
      <c r="M96" s="885"/>
      <c r="N96" s="885"/>
      <c r="O96" s="880"/>
      <c r="P96" s="880"/>
      <c r="Q96" s="881"/>
      <c r="R96" s="881"/>
      <c r="S96" s="60"/>
      <c r="T96" s="60"/>
    </row>
    <row r="97" spans="2:21" ht="12.75">
      <c r="B97" s="913" t="str">
        <f>IF(M95&lt;P95,"Hence not safe , To make safe against sliding will have to provide shear key","Hence safe shear key not required")</f>
        <v>Hence not safe , To make safe against sliding will have to provide shear key</v>
      </c>
      <c r="C97" s="913"/>
      <c r="D97" s="913"/>
      <c r="E97" s="913"/>
      <c r="F97" s="913"/>
      <c r="G97" s="913"/>
      <c r="H97" s="913"/>
      <c r="I97" s="913"/>
      <c r="J97" s="913"/>
      <c r="K97" s="913"/>
      <c r="L97" s="913"/>
      <c r="M97" s="913"/>
      <c r="N97" s="913"/>
      <c r="O97" s="913"/>
      <c r="P97" s="913"/>
      <c r="Q97" s="913"/>
      <c r="R97" s="913"/>
      <c r="S97" s="47"/>
      <c r="T97" s="44"/>
      <c r="U97" s="96"/>
    </row>
    <row r="98" spans="2:21" ht="12.75">
      <c r="B98" s="329"/>
      <c r="C98" s="329"/>
      <c r="D98" s="329"/>
      <c r="E98" s="329"/>
      <c r="F98" s="329"/>
      <c r="G98" s="329"/>
      <c r="H98" s="329"/>
      <c r="I98" s="329"/>
      <c r="J98" s="329"/>
      <c r="K98" s="329"/>
      <c r="L98" s="329"/>
      <c r="M98" s="329"/>
      <c r="N98" s="329"/>
      <c r="O98" s="329"/>
      <c r="P98" s="329"/>
      <c r="Q98" s="329"/>
      <c r="R98" s="329"/>
      <c r="S98" s="47"/>
      <c r="T98" s="44"/>
      <c r="U98" s="96"/>
    </row>
    <row r="99" spans="2:21" ht="12.75">
      <c r="B99" s="910" t="s">
        <v>149</v>
      </c>
      <c r="C99" s="910"/>
      <c r="D99" s="910"/>
      <c r="E99" s="911" t="s">
        <v>150</v>
      </c>
      <c r="F99" s="911"/>
      <c r="G99" s="911"/>
      <c r="H99" s="911"/>
      <c r="I99" s="885">
        <f>F89</f>
        <v>215.88513177664436</v>
      </c>
      <c r="J99" s="885"/>
      <c r="K99" s="49" t="s">
        <v>41</v>
      </c>
      <c r="L99" s="46">
        <f>N91</f>
        <v>87.7100270204183</v>
      </c>
      <c r="M99" s="49" t="s">
        <v>28</v>
      </c>
      <c r="N99" s="923">
        <f>I99-L99</f>
        <v>128.17510475622606</v>
      </c>
      <c r="O99" s="923"/>
      <c r="P99" t="s">
        <v>137</v>
      </c>
      <c r="S99" s="47"/>
      <c r="T99" s="60"/>
      <c r="U99" s="96"/>
    </row>
    <row r="100" spans="2:21" ht="12.75">
      <c r="B100" s="138" t="s">
        <v>56</v>
      </c>
      <c r="C100" s="60" t="s">
        <v>151</v>
      </c>
      <c r="D100" s="60"/>
      <c r="E100" s="60"/>
      <c r="I100" s="139"/>
      <c r="J100" s="47"/>
      <c r="K100" s="49"/>
      <c r="L100" s="140"/>
      <c r="M100" s="47"/>
      <c r="N100" s="47"/>
      <c r="O100" s="49"/>
      <c r="P100" s="49"/>
      <c r="Q100" s="47"/>
      <c r="R100" s="141"/>
      <c r="S100" s="47"/>
      <c r="T100" s="44"/>
      <c r="U100" s="96"/>
    </row>
    <row r="101" spans="2:32" ht="12.75">
      <c r="B101" s="8"/>
      <c r="C101" s="60"/>
      <c r="D101" s="1006" t="s">
        <v>37</v>
      </c>
      <c r="E101" s="887" t="s">
        <v>28</v>
      </c>
      <c r="F101" s="122" t="s">
        <v>152</v>
      </c>
      <c r="G101" s="887" t="s">
        <v>28</v>
      </c>
      <c r="H101" s="99">
        <f>N99</f>
        <v>128.17510475622606</v>
      </c>
      <c r="I101" s="896" t="s">
        <v>28</v>
      </c>
      <c r="J101" s="885">
        <f>H101/H102</f>
        <v>1.0624873543577207</v>
      </c>
      <c r="K101" s="886" t="s">
        <v>15</v>
      </c>
      <c r="L101" s="116" t="s">
        <v>62</v>
      </c>
      <c r="M101" s="744" t="s">
        <v>28</v>
      </c>
      <c r="N101" s="136">
        <f>H103</f>
        <v>2.4</v>
      </c>
      <c r="O101" s="880" t="s">
        <v>28</v>
      </c>
      <c r="P101" s="895">
        <f>N101/N102</f>
        <v>0.39999999999999997</v>
      </c>
      <c r="Q101" s="47"/>
      <c r="R101" s="372"/>
      <c r="S101" s="372"/>
      <c r="T101" s="372"/>
      <c r="U101" s="372"/>
      <c r="V101" s="372"/>
      <c r="W101" s="372"/>
      <c r="X101" s="372"/>
      <c r="Y101" s="372"/>
      <c r="Z101" s="372"/>
      <c r="AA101" s="372"/>
      <c r="AB101" s="372"/>
      <c r="AC101" s="372"/>
      <c r="AD101" s="372"/>
      <c r="AE101" s="372"/>
      <c r="AF101" s="372"/>
    </row>
    <row r="102" spans="2:21" ht="11.25" customHeight="1">
      <c r="B102" s="8"/>
      <c r="C102" s="60"/>
      <c r="D102" s="1006"/>
      <c r="E102" s="881"/>
      <c r="F102" s="144" t="s">
        <v>153</v>
      </c>
      <c r="G102" s="881"/>
      <c r="H102" s="146">
        <f>L88</f>
        <v>120.6368285048518</v>
      </c>
      <c r="I102" s="896"/>
      <c r="J102" s="885"/>
      <c r="K102" s="880"/>
      <c r="L102" s="120">
        <v>6</v>
      </c>
      <c r="M102" s="745"/>
      <c r="N102" s="149">
        <v>6</v>
      </c>
      <c r="O102" s="886"/>
      <c r="P102" s="895"/>
      <c r="Q102" s="47"/>
      <c r="R102" s="141"/>
      <c r="S102" s="47"/>
      <c r="T102" s="60"/>
      <c r="U102" s="96"/>
    </row>
    <row r="103" spans="2:21" ht="12.75" customHeight="1">
      <c r="B103" s="910" t="s">
        <v>156</v>
      </c>
      <c r="C103" s="880" t="s">
        <v>28</v>
      </c>
      <c r="D103" s="8" t="s">
        <v>62</v>
      </c>
      <c r="E103" s="887" t="s">
        <v>41</v>
      </c>
      <c r="F103" s="881" t="str">
        <f>D101</f>
        <v>x</v>
      </c>
      <c r="G103" s="887" t="s">
        <v>28</v>
      </c>
      <c r="H103" s="134">
        <f>J47</f>
        <v>2.4</v>
      </c>
      <c r="I103" s="896" t="s">
        <v>41</v>
      </c>
      <c r="J103" s="885">
        <f>J101</f>
        <v>1.0624873543577207</v>
      </c>
      <c r="K103" s="880" t="s">
        <v>28</v>
      </c>
      <c r="L103" s="740">
        <f>(H103/H104)-J103</f>
        <v>0.13751264564227927</v>
      </c>
      <c r="M103" s="886" t="s">
        <v>15</v>
      </c>
      <c r="N103" s="886" t="s">
        <v>154</v>
      </c>
      <c r="O103" s="888">
        <f>P101</f>
        <v>0.39999999999999997</v>
      </c>
      <c r="P103" s="888"/>
      <c r="Q103" s="882" t="s">
        <v>148</v>
      </c>
      <c r="R103" s="882"/>
      <c r="S103" s="882"/>
      <c r="T103" s="60"/>
      <c r="U103" s="96"/>
    </row>
    <row r="104" spans="2:21" ht="13.5" customHeight="1">
      <c r="B104" s="910"/>
      <c r="C104" s="880"/>
      <c r="D104" s="8">
        <v>2</v>
      </c>
      <c r="E104" s="881"/>
      <c r="F104" s="887"/>
      <c r="G104" s="881"/>
      <c r="H104" s="150">
        <v>2</v>
      </c>
      <c r="I104" s="896"/>
      <c r="J104" s="886"/>
      <c r="K104" s="880"/>
      <c r="L104" s="740"/>
      <c r="M104" s="886"/>
      <c r="N104" s="886"/>
      <c r="O104" s="888"/>
      <c r="P104" s="888"/>
      <c r="Q104" s="882"/>
      <c r="R104" s="882"/>
      <c r="S104" s="882"/>
      <c r="T104" s="60"/>
      <c r="U104" s="96"/>
    </row>
    <row r="105" spans="2:21" ht="12.75">
      <c r="B105" s="881" t="s">
        <v>155</v>
      </c>
      <c r="C105" s="880" t="s">
        <v>28</v>
      </c>
      <c r="D105" s="122" t="s">
        <v>157</v>
      </c>
      <c r="E105" s="881" t="s">
        <v>161</v>
      </c>
      <c r="F105" s="151" t="s">
        <v>159</v>
      </c>
      <c r="G105" s="887" t="s">
        <v>28</v>
      </c>
      <c r="H105" s="153">
        <f>H102</f>
        <v>120.6368285048518</v>
      </c>
      <c r="I105" s="895" t="s">
        <v>37</v>
      </c>
      <c r="J105" s="886" t="s">
        <v>161</v>
      </c>
      <c r="K105" s="42" t="s">
        <v>160</v>
      </c>
      <c r="L105" s="48">
        <f>L103</f>
        <v>0.13751264564227927</v>
      </c>
      <c r="M105" s="880" t="s">
        <v>28</v>
      </c>
      <c r="N105" s="166">
        <f>(H105/H106)*(1+6*L103/K106)</f>
        <v>67.54564672035086</v>
      </c>
      <c r="O105" s="35" t="str">
        <f>IF(N105&lt;P105,"&lt;","&gt;")</f>
        <v>&lt;</v>
      </c>
      <c r="P105" s="154">
        <v>100</v>
      </c>
      <c r="R105" s="884" t="str">
        <f>IF(N105&lt;P105,"Hence safe","fail")</f>
        <v>Hence safe</v>
      </c>
      <c r="S105" s="884"/>
      <c r="T105" s="60"/>
      <c r="U105" s="96"/>
    </row>
    <row r="106" spans="2:21" ht="13.5" customHeight="1">
      <c r="B106" s="881"/>
      <c r="C106" s="886"/>
      <c r="D106" s="150" t="s">
        <v>62</v>
      </c>
      <c r="E106" s="881"/>
      <c r="F106" s="8" t="s">
        <v>62</v>
      </c>
      <c r="G106" s="881"/>
      <c r="H106" s="134">
        <f>N101</f>
        <v>2.4</v>
      </c>
      <c r="I106" s="896"/>
      <c r="J106" s="886"/>
      <c r="K106" s="889">
        <f>H106</f>
        <v>2.4</v>
      </c>
      <c r="L106" s="880"/>
      <c r="M106" s="886"/>
      <c r="N106" s="881" t="s">
        <v>163</v>
      </c>
      <c r="O106" s="881"/>
      <c r="P106" s="154"/>
      <c r="Q106" s="167"/>
      <c r="R106" s="884"/>
      <c r="S106" s="884"/>
      <c r="T106" s="47"/>
      <c r="U106" s="96"/>
    </row>
    <row r="107" spans="2:21" ht="13.5" customHeight="1">
      <c r="B107" s="881" t="s">
        <v>164</v>
      </c>
      <c r="C107" s="880" t="s">
        <v>28</v>
      </c>
      <c r="D107" s="122" t="s">
        <v>157</v>
      </c>
      <c r="E107" s="881" t="s">
        <v>158</v>
      </c>
      <c r="F107" s="151" t="s">
        <v>159</v>
      </c>
      <c r="G107" s="887" t="s">
        <v>28</v>
      </c>
      <c r="H107" s="153">
        <f>H105</f>
        <v>120.6368285048518</v>
      </c>
      <c r="I107" s="895" t="s">
        <v>37</v>
      </c>
      <c r="J107" s="886" t="s">
        <v>158</v>
      </c>
      <c r="K107" s="42" t="s">
        <v>160</v>
      </c>
      <c r="L107" s="48">
        <f>L105</f>
        <v>0.13751264564227927</v>
      </c>
      <c r="M107" s="880" t="s">
        <v>28</v>
      </c>
      <c r="N107" s="166">
        <f>(H107/H108)*(1-6*L105/K108)</f>
        <v>32.98504370035898</v>
      </c>
      <c r="O107" s="60" t="str">
        <f>IF(N107&lt;P107,"&lt;","&gt;")</f>
        <v>&lt;</v>
      </c>
      <c r="P107" s="154">
        <v>100</v>
      </c>
      <c r="Q107" s="943" t="str">
        <f>IF(N107&lt;P107,"Hence safe","fail")</f>
        <v>Hence safe</v>
      </c>
      <c r="R107" s="943"/>
      <c r="S107" s="943"/>
      <c r="T107" s="47"/>
      <c r="U107" s="96"/>
    </row>
    <row r="108" spans="2:21" ht="12.75">
      <c r="B108" s="881"/>
      <c r="C108" s="886"/>
      <c r="D108" s="150" t="s">
        <v>62</v>
      </c>
      <c r="E108" s="881"/>
      <c r="F108" s="8" t="s">
        <v>62</v>
      </c>
      <c r="G108" s="881"/>
      <c r="H108" s="134">
        <f>H106</f>
        <v>2.4</v>
      </c>
      <c r="I108" s="896"/>
      <c r="J108" s="886"/>
      <c r="K108" s="889">
        <f>H108</f>
        <v>2.4</v>
      </c>
      <c r="L108" s="880"/>
      <c r="M108" s="886"/>
      <c r="N108" s="881" t="s">
        <v>163</v>
      </c>
      <c r="O108" s="881"/>
      <c r="P108" s="154"/>
      <c r="Q108" s="167"/>
      <c r="R108" s="167"/>
      <c r="S108" s="47"/>
      <c r="T108" s="47"/>
      <c r="U108" s="96"/>
    </row>
    <row r="109" spans="2:20" ht="12.75">
      <c r="B109" s="881" t="s">
        <v>165</v>
      </c>
      <c r="C109" s="881"/>
      <c r="D109" s="881"/>
      <c r="E109" s="881"/>
      <c r="F109" s="881"/>
      <c r="G109" s="881"/>
      <c r="H109" s="881"/>
      <c r="I109" s="139"/>
      <c r="J109" s="47"/>
      <c r="K109" s="49"/>
      <c r="L109" s="140"/>
      <c r="M109" s="47"/>
      <c r="N109" s="47"/>
      <c r="O109" s="49"/>
      <c r="P109" s="49"/>
      <c r="Q109" s="47"/>
      <c r="R109" s="141"/>
      <c r="S109" s="47"/>
      <c r="T109" s="47"/>
    </row>
    <row r="110" spans="2:20" ht="14.25">
      <c r="B110" s="911" t="s">
        <v>139</v>
      </c>
      <c r="C110" s="880" t="s">
        <v>28</v>
      </c>
      <c r="D110" s="944">
        <f>N105</f>
        <v>67.54564672035086</v>
      </c>
      <c r="E110" s="887" t="s">
        <v>41</v>
      </c>
      <c r="F110" s="134">
        <f>N105</f>
        <v>67.54564672035086</v>
      </c>
      <c r="G110" s="135" t="s">
        <v>41</v>
      </c>
      <c r="H110" s="134">
        <f>N107</f>
        <v>32.98504370035898</v>
      </c>
      <c r="I110" s="895" t="s">
        <v>37</v>
      </c>
      <c r="J110" s="885">
        <f>P49</f>
        <v>1.2000000000000002</v>
      </c>
      <c r="K110" s="880" t="s">
        <v>28</v>
      </c>
      <c r="L110" s="945">
        <f>D110-((F110-H110)/F111*J110)</f>
        <v>50.265345210354916</v>
      </c>
      <c r="M110" s="886" t="s">
        <v>162</v>
      </c>
      <c r="N110" s="886"/>
      <c r="O110" s="49"/>
      <c r="P110" s="49"/>
      <c r="Q110" s="47"/>
      <c r="R110" s="141"/>
      <c r="S110" s="47"/>
      <c r="T110" s="47"/>
    </row>
    <row r="111" spans="2:20" ht="12.75">
      <c r="B111" s="911"/>
      <c r="C111" s="886"/>
      <c r="D111" s="881"/>
      <c r="E111" s="881"/>
      <c r="F111" s="919">
        <f>H108</f>
        <v>2.4</v>
      </c>
      <c r="G111" s="919"/>
      <c r="H111" s="919"/>
      <c r="I111" s="896"/>
      <c r="J111" s="886"/>
      <c r="K111" s="880"/>
      <c r="L111" s="945"/>
      <c r="M111" s="886"/>
      <c r="N111" s="886"/>
      <c r="O111" s="49"/>
      <c r="P111" s="47"/>
      <c r="Q111" s="47"/>
      <c r="R111" s="141"/>
      <c r="S111" s="47"/>
      <c r="T111" s="47"/>
    </row>
    <row r="112" spans="2:20" ht="12.75">
      <c r="B112" s="881" t="s">
        <v>499</v>
      </c>
      <c r="C112" s="881"/>
      <c r="D112" s="881"/>
      <c r="E112" s="881"/>
      <c r="F112" s="881"/>
      <c r="G112" s="881"/>
      <c r="H112" s="881"/>
      <c r="I112" s="139"/>
      <c r="J112" s="47"/>
      <c r="K112" s="49"/>
      <c r="L112" s="140"/>
      <c r="M112" s="47"/>
      <c r="N112" s="47"/>
      <c r="O112" s="49"/>
      <c r="P112" s="47"/>
      <c r="Q112" s="47"/>
      <c r="R112" s="141"/>
      <c r="S112" s="47"/>
      <c r="T112" s="47"/>
    </row>
    <row r="113" spans="2:21" ht="15.75" customHeight="1">
      <c r="B113" s="911" t="s">
        <v>498</v>
      </c>
      <c r="C113" s="880" t="s">
        <v>28</v>
      </c>
      <c r="D113" s="944">
        <f>D110</f>
        <v>67.54564672035086</v>
      </c>
      <c r="E113" s="887" t="s">
        <v>41</v>
      </c>
      <c r="F113" s="134">
        <f>F110</f>
        <v>67.54564672035086</v>
      </c>
      <c r="G113" s="135" t="s">
        <v>41</v>
      </c>
      <c r="H113" s="134">
        <f>H110</f>
        <v>32.98504370035898</v>
      </c>
      <c r="I113" s="895" t="s">
        <v>37</v>
      </c>
      <c r="J113" s="885">
        <f>L51</f>
        <v>0.8999999999999999</v>
      </c>
      <c r="K113" s="880" t="s">
        <v>28</v>
      </c>
      <c r="L113" s="945">
        <f>D113-((F113-H113)/F114*J113)</f>
        <v>54.5854205878539</v>
      </c>
      <c r="M113" s="886" t="s">
        <v>162</v>
      </c>
      <c r="N113" s="886"/>
      <c r="O113" s="49"/>
      <c r="P113" s="47"/>
      <c r="Q113" s="47"/>
      <c r="R113" s="141"/>
      <c r="S113" s="47"/>
      <c r="T113" s="174"/>
      <c r="U113" s="96"/>
    </row>
    <row r="114" spans="2:20" ht="13.5" customHeight="1">
      <c r="B114" s="911"/>
      <c r="C114" s="886"/>
      <c r="D114" s="881"/>
      <c r="E114" s="881"/>
      <c r="F114" s="919">
        <f>F111</f>
        <v>2.4</v>
      </c>
      <c r="G114" s="919"/>
      <c r="H114" s="919"/>
      <c r="I114" s="896"/>
      <c r="J114" s="886"/>
      <c r="K114" s="880"/>
      <c r="L114" s="945"/>
      <c r="M114" s="886"/>
      <c r="N114" s="886"/>
      <c r="O114" s="49"/>
      <c r="P114" s="47"/>
      <c r="Q114" s="47"/>
      <c r="R114" s="141"/>
      <c r="S114" s="47"/>
      <c r="T114" s="174"/>
    </row>
    <row r="115" spans="1:20" ht="14.25">
      <c r="A115">
        <v>5</v>
      </c>
      <c r="B115" s="697" t="s">
        <v>168</v>
      </c>
      <c r="C115" s="697"/>
      <c r="D115" s="697"/>
      <c r="E115" s="8"/>
      <c r="F115" s="85"/>
      <c r="G115" s="85"/>
      <c r="H115" s="85"/>
      <c r="I115" s="105"/>
      <c r="J115" s="44"/>
      <c r="K115" s="46"/>
      <c r="L115" s="48"/>
      <c r="M115" s="44"/>
      <c r="N115" s="44"/>
      <c r="O115" s="49"/>
      <c r="P115" s="47"/>
      <c r="Q115" s="47"/>
      <c r="R115" s="141"/>
      <c r="S115" s="47"/>
      <c r="T115" s="47"/>
    </row>
    <row r="116" spans="2:21" ht="13.5" customHeight="1">
      <c r="B116" s="946" t="s">
        <v>169</v>
      </c>
      <c r="C116" s="946"/>
      <c r="D116" s="946"/>
      <c r="E116" s="946"/>
      <c r="F116" s="946"/>
      <c r="G116" s="946"/>
      <c r="H116" s="946"/>
      <c r="I116" s="946"/>
      <c r="J116" s="946"/>
      <c r="K116" s="946"/>
      <c r="L116" s="946"/>
      <c r="M116" s="946"/>
      <c r="N116" s="946"/>
      <c r="O116" s="946"/>
      <c r="P116" s="946"/>
      <c r="Q116" s="946"/>
      <c r="R116" s="946"/>
      <c r="S116" s="946"/>
      <c r="T116" s="47"/>
      <c r="U116" s="142"/>
    </row>
    <row r="117" spans="2:21" ht="12.75">
      <c r="B117" s="946"/>
      <c r="C117" s="946"/>
      <c r="D117" s="946"/>
      <c r="E117" s="946"/>
      <c r="F117" s="946"/>
      <c r="G117" s="946"/>
      <c r="H117" s="946"/>
      <c r="I117" s="946"/>
      <c r="J117" s="946"/>
      <c r="K117" s="946"/>
      <c r="L117" s="946"/>
      <c r="M117" s="946"/>
      <c r="N117" s="946"/>
      <c r="O117" s="946"/>
      <c r="P117" s="946"/>
      <c r="Q117" s="946"/>
      <c r="R117" s="946"/>
      <c r="S117" s="946"/>
      <c r="T117" s="47"/>
      <c r="U117" s="142"/>
    </row>
    <row r="118" spans="2:21" ht="12.75">
      <c r="B118" s="121"/>
      <c r="C118" s="49" t="s">
        <v>143</v>
      </c>
      <c r="D118" s="881" t="s">
        <v>170</v>
      </c>
      <c r="E118" s="881"/>
      <c r="F118" s="881"/>
      <c r="G118" s="881"/>
      <c r="H118" s="125"/>
      <c r="I118" s="139"/>
      <c r="J118" s="49" t="s">
        <v>171</v>
      </c>
      <c r="K118" s="49"/>
      <c r="L118" s="148"/>
      <c r="M118" s="47"/>
      <c r="N118" s="47"/>
      <c r="O118" s="49"/>
      <c r="P118" s="47"/>
      <c r="Q118" s="47"/>
      <c r="R118" s="141"/>
      <c r="S118" s="47"/>
      <c r="T118" s="47"/>
      <c r="U118" s="142"/>
    </row>
    <row r="119" spans="2:21" ht="14.25">
      <c r="B119" s="892" t="s">
        <v>172</v>
      </c>
      <c r="C119" s="892"/>
      <c r="D119" s="892"/>
      <c r="E119" s="892"/>
      <c r="F119" s="892"/>
      <c r="G119" s="156" t="s">
        <v>28</v>
      </c>
      <c r="H119" s="85">
        <f>P50</f>
        <v>0.3</v>
      </c>
      <c r="I119" s="53" t="s">
        <v>37</v>
      </c>
      <c r="J119" s="44">
        <v>1</v>
      </c>
      <c r="K119" s="44" t="s">
        <v>37</v>
      </c>
      <c r="L119" s="48">
        <v>1</v>
      </c>
      <c r="M119" s="44" t="s">
        <v>37</v>
      </c>
      <c r="N119" s="44">
        <v>25</v>
      </c>
      <c r="O119" s="49" t="s">
        <v>28</v>
      </c>
      <c r="P119" s="148">
        <f>H119*J119*L119*N119</f>
        <v>7.5</v>
      </c>
      <c r="Q119" s="60" t="s">
        <v>162</v>
      </c>
      <c r="R119" s="60"/>
      <c r="S119" s="47"/>
      <c r="T119" s="47"/>
      <c r="U119" s="142"/>
    </row>
    <row r="120" spans="2:21" ht="14.25">
      <c r="B120" s="911" t="s">
        <v>173</v>
      </c>
      <c r="C120" s="911"/>
      <c r="D120" s="911"/>
      <c r="E120" s="911"/>
      <c r="F120" s="911"/>
      <c r="G120" s="156" t="s">
        <v>28</v>
      </c>
      <c r="H120" s="155">
        <f>N105</f>
        <v>67.54564672035086</v>
      </c>
      <c r="I120" s="139" t="s">
        <v>41</v>
      </c>
      <c r="J120" s="148">
        <f>P119</f>
        <v>7.5</v>
      </c>
      <c r="K120" s="49" t="s">
        <v>28</v>
      </c>
      <c r="L120" s="148">
        <f>H120-J120</f>
        <v>60.04564672035086</v>
      </c>
      <c r="M120" s="60" t="s">
        <v>177</v>
      </c>
      <c r="N120" s="47"/>
      <c r="O120" s="49"/>
      <c r="P120" s="47"/>
      <c r="Q120" s="60"/>
      <c r="R120" s="60"/>
      <c r="S120" s="47"/>
      <c r="T120" s="47"/>
      <c r="U120" s="142"/>
    </row>
    <row r="121" spans="4:21" ht="14.25" customHeight="1">
      <c r="D121" s="881" t="s">
        <v>494</v>
      </c>
      <c r="E121" s="881"/>
      <c r="F121" s="881"/>
      <c r="G121" s="156" t="s">
        <v>28</v>
      </c>
      <c r="H121" s="13">
        <f>L110</f>
        <v>50.265345210354916</v>
      </c>
      <c r="I121" s="135" t="s">
        <v>41</v>
      </c>
      <c r="J121" s="85">
        <f>J120</f>
        <v>7.5</v>
      </c>
      <c r="K121" s="158" t="s">
        <v>28</v>
      </c>
      <c r="L121" s="85">
        <f>H121-J121</f>
        <v>42.765345210354916</v>
      </c>
      <c r="M121" s="60" t="s">
        <v>174</v>
      </c>
      <c r="N121" s="47"/>
      <c r="O121" s="49"/>
      <c r="P121" s="47"/>
      <c r="Q121" s="47"/>
      <c r="R121" s="141"/>
      <c r="S121" s="47"/>
      <c r="T121" s="47"/>
      <c r="U121" s="142"/>
    </row>
    <row r="122" spans="2:21" ht="12.75" customHeight="1">
      <c r="B122" s="911" t="s">
        <v>495</v>
      </c>
      <c r="C122" s="911"/>
      <c r="D122" s="911"/>
      <c r="E122" s="881" t="s">
        <v>496</v>
      </c>
      <c r="F122" s="881"/>
      <c r="G122" s="156" t="s">
        <v>28</v>
      </c>
      <c r="H122" s="85">
        <v>0.5</v>
      </c>
      <c r="I122" s="155" t="s">
        <v>45</v>
      </c>
      <c r="J122" s="155">
        <f>L120</f>
        <v>60.04564672035086</v>
      </c>
      <c r="K122" s="139" t="s">
        <v>39</v>
      </c>
      <c r="L122" s="148">
        <f>L121</f>
        <v>42.765345210354916</v>
      </c>
      <c r="M122" s="47" t="s">
        <v>175</v>
      </c>
      <c r="N122" s="148">
        <f>P49</f>
        <v>1.2000000000000002</v>
      </c>
      <c r="O122" s="49" t="s">
        <v>28</v>
      </c>
      <c r="P122" s="234">
        <f>H122*(J122+L122)*N122</f>
        <v>61.68659515842347</v>
      </c>
      <c r="Q122" s="48"/>
      <c r="R122" s="47" t="s">
        <v>176</v>
      </c>
      <c r="S122" s="47"/>
      <c r="T122" s="47"/>
      <c r="U122" s="142"/>
    </row>
    <row r="123" spans="3:22" ht="15" customHeight="1">
      <c r="C123" s="881" t="s">
        <v>178</v>
      </c>
      <c r="D123" s="881"/>
      <c r="E123" s="880" t="s">
        <v>28</v>
      </c>
      <c r="F123" s="152">
        <f>L121</f>
        <v>42.765345210354916</v>
      </c>
      <c r="G123" s="159" t="s">
        <v>179</v>
      </c>
      <c r="H123" s="116">
        <v>2</v>
      </c>
      <c r="I123" s="160" t="s">
        <v>37</v>
      </c>
      <c r="J123" s="160">
        <f>J122</f>
        <v>60.04564672035086</v>
      </c>
      <c r="K123" s="53" t="s">
        <v>37</v>
      </c>
      <c r="L123" s="116">
        <f>N122</f>
        <v>1.2000000000000002</v>
      </c>
      <c r="M123" s="880" t="s">
        <v>28</v>
      </c>
      <c r="N123" s="900">
        <f>L123/L124*((F123+H123*J123)/(F124+H124))</f>
        <v>0.6336156692693772</v>
      </c>
      <c r="O123" s="900" t="s">
        <v>15</v>
      </c>
      <c r="P123" s="47"/>
      <c r="Q123" s="47"/>
      <c r="R123" s="141"/>
      <c r="S123" s="47"/>
      <c r="T123" s="47"/>
      <c r="V123" s="60"/>
    </row>
    <row r="124" spans="3:22" ht="15" customHeight="1">
      <c r="C124" s="881"/>
      <c r="D124" s="881"/>
      <c r="E124" s="880"/>
      <c r="F124" s="145">
        <f>F123</f>
        <v>42.765345210354916</v>
      </c>
      <c r="G124" s="135" t="s">
        <v>179</v>
      </c>
      <c r="H124" s="919">
        <f>J123</f>
        <v>60.04564672035086</v>
      </c>
      <c r="I124" s="919"/>
      <c r="J124" s="919"/>
      <c r="K124" s="105"/>
      <c r="L124" s="44">
        <v>3</v>
      </c>
      <c r="M124" s="880"/>
      <c r="N124" s="900"/>
      <c r="O124" s="900"/>
      <c r="P124" s="47"/>
      <c r="Q124" s="47"/>
      <c r="R124" s="141"/>
      <c r="S124" s="47"/>
      <c r="T124" s="178"/>
      <c r="U124" s="60"/>
      <c r="V124" s="60"/>
    </row>
    <row r="125" spans="2:21" ht="15">
      <c r="B125" s="122" t="s">
        <v>56</v>
      </c>
      <c r="C125" s="47" t="s">
        <v>180</v>
      </c>
      <c r="D125" s="147"/>
      <c r="E125" s="135" t="s">
        <v>28</v>
      </c>
      <c r="F125" s="155">
        <f>P122</f>
        <v>61.68659515842347</v>
      </c>
      <c r="G125" s="155" t="s">
        <v>37</v>
      </c>
      <c r="H125" s="155">
        <f>N123</f>
        <v>0.6336156692693772</v>
      </c>
      <c r="I125" s="139" t="s">
        <v>28</v>
      </c>
      <c r="J125" s="740">
        <f>F125*H125</f>
        <v>39.08559327625361</v>
      </c>
      <c r="K125" s="740"/>
      <c r="L125" s="148" t="s">
        <v>137</v>
      </c>
      <c r="M125" s="47"/>
      <c r="N125" s="47"/>
      <c r="O125" s="49"/>
      <c r="P125" s="47"/>
      <c r="Q125" s="47"/>
      <c r="R125" s="141"/>
      <c r="S125" s="47"/>
      <c r="T125" s="178"/>
      <c r="U125" s="142"/>
    </row>
    <row r="126" spans="2:21" ht="12.75" customHeight="1">
      <c r="B126" s="929" t="s">
        <v>46</v>
      </c>
      <c r="C126" s="929"/>
      <c r="D126" s="929"/>
      <c r="E126" s="929"/>
      <c r="F126" s="292" t="s">
        <v>406</v>
      </c>
      <c r="G126" s="880" t="s">
        <v>28</v>
      </c>
      <c r="H126" s="131">
        <f>J125</f>
        <v>39.08559327625361</v>
      </c>
      <c r="I126" s="131" t="s">
        <v>37</v>
      </c>
      <c r="J126" s="132" t="s">
        <v>49</v>
      </c>
      <c r="K126" s="880" t="s">
        <v>28</v>
      </c>
      <c r="L126" s="916">
        <f>(H126*1000000/H127/J127)^0.5</f>
        <v>206.91135027613694</v>
      </c>
      <c r="M126" s="886" t="s">
        <v>26</v>
      </c>
      <c r="N126" s="886"/>
      <c r="P126" s="47"/>
      <c r="Q126" s="47"/>
      <c r="R126" s="141"/>
      <c r="S126" s="47"/>
      <c r="T126" s="47"/>
      <c r="U126" s="142"/>
    </row>
    <row r="127" spans="2:21" ht="12.75" customHeight="1">
      <c r="B127" s="929"/>
      <c r="C127" s="929"/>
      <c r="D127" s="929"/>
      <c r="E127" s="929"/>
      <c r="F127" s="82" t="s">
        <v>405</v>
      </c>
      <c r="G127" s="880"/>
      <c r="H127" s="103">
        <f>H60</f>
        <v>0.9129522824386109</v>
      </c>
      <c r="I127" s="44" t="s">
        <v>37</v>
      </c>
      <c r="J127" s="42">
        <f>1000</f>
        <v>1000</v>
      </c>
      <c r="K127" s="880"/>
      <c r="L127" s="916"/>
      <c r="M127" s="886"/>
      <c r="N127" s="886"/>
      <c r="P127" s="47"/>
      <c r="Q127" s="47"/>
      <c r="R127" s="141"/>
      <c r="S127" s="47"/>
      <c r="T127" s="47"/>
      <c r="U127" s="142"/>
    </row>
    <row r="128" spans="2:21" ht="13.5" customHeight="1">
      <c r="B128" s="911" t="s">
        <v>181</v>
      </c>
      <c r="C128" s="911"/>
      <c r="D128" s="911"/>
      <c r="E128" s="46" t="s">
        <v>28</v>
      </c>
      <c r="F128" s="157">
        <f>ROUNDUP(L126,-1)</f>
        <v>210</v>
      </c>
      <c r="G128" s="104" t="s">
        <v>108</v>
      </c>
      <c r="H128" s="44"/>
      <c r="I128" s="45"/>
      <c r="J128" s="60"/>
      <c r="K128" s="46"/>
      <c r="L128" s="42"/>
      <c r="M128" s="49" t="s">
        <v>28</v>
      </c>
      <c r="N128" s="161">
        <f>F128</f>
        <v>210</v>
      </c>
      <c r="O128" s="73" t="s">
        <v>39</v>
      </c>
      <c r="P128" s="44">
        <f>P61</f>
        <v>60</v>
      </c>
      <c r="Q128" s="46" t="s">
        <v>28</v>
      </c>
      <c r="R128" s="157">
        <f>P128+N128</f>
        <v>270</v>
      </c>
      <c r="S128" s="50" t="s">
        <v>26</v>
      </c>
      <c r="T128" s="47"/>
      <c r="U128" s="142"/>
    </row>
    <row r="129" spans="2:21" ht="15.75" customHeight="1">
      <c r="B129" s="949" t="s">
        <v>112</v>
      </c>
      <c r="C129" s="949"/>
      <c r="D129" s="949"/>
      <c r="E129" s="46" t="s">
        <v>28</v>
      </c>
      <c r="F129" s="36">
        <f>ROUNDDOWN(R128,-2)</f>
        <v>200</v>
      </c>
      <c r="G129" s="60" t="s">
        <v>206</v>
      </c>
      <c r="H129" s="60"/>
      <c r="I129" s="947">
        <f>F129/1000</f>
        <v>0.2</v>
      </c>
      <c r="J129" s="947"/>
      <c r="K129" s="47" t="s">
        <v>207</v>
      </c>
      <c r="N129" s="42"/>
      <c r="P129" s="89" t="s">
        <v>44</v>
      </c>
      <c r="Q129" s="46" t="s">
        <v>28</v>
      </c>
      <c r="R129" s="53">
        <f>R128/1000</f>
        <v>0.27</v>
      </c>
      <c r="S129" s="60" t="s">
        <v>15</v>
      </c>
      <c r="T129" s="47"/>
      <c r="U129" s="142"/>
    </row>
    <row r="130" spans="2:21" ht="15.75" customHeight="1">
      <c r="B130" s="330"/>
      <c r="C130" s="330"/>
      <c r="D130" s="890" t="s">
        <v>480</v>
      </c>
      <c r="E130" s="880" t="s">
        <v>28</v>
      </c>
      <c r="F130" s="234">
        <f>P122</f>
        <v>61.68659515842347</v>
      </c>
      <c r="G130" s="60" t="s">
        <v>37</v>
      </c>
      <c r="H130" s="60">
        <v>1000</v>
      </c>
      <c r="I130" s="896" t="s">
        <v>28</v>
      </c>
      <c r="J130" s="886">
        <f>F130*H130/(F131*H131)</f>
        <v>0.22846887095712398</v>
      </c>
      <c r="K130" s="886" t="s">
        <v>32</v>
      </c>
      <c r="L130" s="886"/>
      <c r="M130" s="886" t="s">
        <v>154</v>
      </c>
      <c r="N130" s="913" t="s">
        <v>532</v>
      </c>
      <c r="O130" s="913"/>
      <c r="P130" s="913"/>
      <c r="Q130" s="913"/>
      <c r="R130" s="913"/>
      <c r="S130" s="60"/>
      <c r="T130" s="47"/>
      <c r="U130" s="142"/>
    </row>
    <row r="131" spans="2:21" ht="15.75" customHeight="1">
      <c r="B131" s="330"/>
      <c r="C131" s="330"/>
      <c r="D131" s="890"/>
      <c r="E131" s="880"/>
      <c r="F131" s="362">
        <v>1000</v>
      </c>
      <c r="G131" s="233" t="s">
        <v>37</v>
      </c>
      <c r="H131" s="363">
        <f>R128</f>
        <v>270</v>
      </c>
      <c r="I131" s="895"/>
      <c r="J131" s="886"/>
      <c r="K131" s="886"/>
      <c r="L131" s="886"/>
      <c r="M131" s="886"/>
      <c r="N131" s="913"/>
      <c r="O131" s="913"/>
      <c r="P131" s="913"/>
      <c r="Q131" s="913"/>
      <c r="R131" s="913"/>
      <c r="S131" s="60"/>
      <c r="T131" s="47"/>
      <c r="U131" s="142"/>
    </row>
    <row r="132" spans="2:21" ht="13.5" customHeight="1">
      <c r="B132" s="909" t="s">
        <v>48</v>
      </c>
      <c r="C132" s="950" t="s">
        <v>432</v>
      </c>
      <c r="D132" s="950"/>
      <c r="E132" s="951" t="s">
        <v>28</v>
      </c>
      <c r="F132" s="948">
        <f>H126</f>
        <v>39.08559327625361</v>
      </c>
      <c r="G132" s="948"/>
      <c r="H132" s="109" t="s">
        <v>37</v>
      </c>
      <c r="I132" s="922" t="s">
        <v>49</v>
      </c>
      <c r="J132" s="922"/>
      <c r="K132" s="744" t="s">
        <v>28</v>
      </c>
      <c r="L132" s="771">
        <f>ROUNDUP(F132*1000000/F133/H133/J133,)</f>
        <v>896</v>
      </c>
      <c r="M132" s="771"/>
      <c r="N132" s="745" t="s">
        <v>50</v>
      </c>
      <c r="O132" s="28"/>
      <c r="P132" s="28"/>
      <c r="Q132" s="28"/>
      <c r="R132" s="28"/>
      <c r="S132" s="60"/>
      <c r="T132" s="47"/>
      <c r="U132" s="142"/>
    </row>
    <row r="133" spans="2:21" ht="12.75">
      <c r="B133" s="909"/>
      <c r="C133" s="960" t="s">
        <v>431</v>
      </c>
      <c r="D133" s="981"/>
      <c r="E133" s="951"/>
      <c r="F133" s="28">
        <f>D19</f>
        <v>230</v>
      </c>
      <c r="G133" s="28" t="s">
        <v>37</v>
      </c>
      <c r="H133" s="68">
        <f>L24</f>
        <v>0.9037971812398833</v>
      </c>
      <c r="I133" s="28" t="s">
        <v>37</v>
      </c>
      <c r="J133" s="110">
        <f>F128</f>
        <v>210</v>
      </c>
      <c r="K133" s="744"/>
      <c r="L133" s="771"/>
      <c r="M133" s="771"/>
      <c r="N133" s="745"/>
      <c r="O133" s="28"/>
      <c r="P133" s="28"/>
      <c r="Q133" s="28"/>
      <c r="R133" s="28"/>
      <c r="S133" s="60"/>
      <c r="T133" s="47"/>
      <c r="U133" s="142"/>
    </row>
    <row r="134" spans="2:21" ht="12.75">
      <c r="B134" s="952" t="s">
        <v>182</v>
      </c>
      <c r="C134" s="952"/>
      <c r="D134" s="952"/>
      <c r="E134" s="952"/>
      <c r="F134" s="952"/>
      <c r="G134" s="952"/>
      <c r="H134" s="952"/>
      <c r="I134" s="952"/>
      <c r="J134" s="952"/>
      <c r="K134" s="952"/>
      <c r="L134" s="952"/>
      <c r="M134" s="952"/>
      <c r="N134" s="952"/>
      <c r="O134" s="952"/>
      <c r="P134" s="952"/>
      <c r="Q134" s="952"/>
      <c r="R134" s="952"/>
      <c r="S134" s="952"/>
      <c r="T134" s="47"/>
      <c r="U134" s="143"/>
    </row>
    <row r="135" spans="2:21" ht="14.25">
      <c r="B135" s="898" t="s">
        <v>183</v>
      </c>
      <c r="C135" s="898"/>
      <c r="D135" s="898"/>
      <c r="E135" s="898"/>
      <c r="F135" s="898"/>
      <c r="G135" s="898"/>
      <c r="H135" s="898"/>
      <c r="I135" s="73" t="s">
        <v>28</v>
      </c>
      <c r="J135" s="162" t="s">
        <v>127</v>
      </c>
      <c r="K135" s="12" t="s">
        <v>37</v>
      </c>
      <c r="L135" s="279">
        <f>L216</f>
        <v>1256</v>
      </c>
      <c r="M135" s="163" t="s">
        <v>28</v>
      </c>
      <c r="N135" s="956">
        <f>L135*0.5</f>
        <v>628</v>
      </c>
      <c r="O135" s="956"/>
      <c r="P135" s="28" t="s">
        <v>50</v>
      </c>
      <c r="Q135" s="955" t="s">
        <v>497</v>
      </c>
      <c r="R135" s="955"/>
      <c r="S135" s="955"/>
      <c r="T135" s="47"/>
      <c r="U135" s="143"/>
    </row>
    <row r="136" spans="2:21" ht="14.25" customHeight="1">
      <c r="B136" s="886" t="s">
        <v>51</v>
      </c>
      <c r="C136" s="1005">
        <f>'Data sheet'!F31</f>
        <v>12</v>
      </c>
      <c r="D136" s="886" t="s">
        <v>52</v>
      </c>
      <c r="E136" s="886"/>
      <c r="F136" s="886" t="s">
        <v>21</v>
      </c>
      <c r="G136" s="880" t="s">
        <v>28</v>
      </c>
      <c r="H136" s="111" t="s">
        <v>53</v>
      </c>
      <c r="I136" s="111"/>
      <c r="J136" s="60"/>
      <c r="K136" s="46" t="s">
        <v>28</v>
      </c>
      <c r="L136" s="111">
        <v>3.14</v>
      </c>
      <c r="M136" s="69" t="s">
        <v>37</v>
      </c>
      <c r="N136" s="69">
        <f>C136</f>
        <v>12</v>
      </c>
      <c r="O136" s="69" t="s">
        <v>37</v>
      </c>
      <c r="P136" s="69">
        <f>C136</f>
        <v>12</v>
      </c>
      <c r="Q136" s="45" t="s">
        <v>28</v>
      </c>
      <c r="R136" s="36">
        <f>L136*N136*P136/4</f>
        <v>113.03999999999999</v>
      </c>
      <c r="S136" s="59" t="s">
        <v>54</v>
      </c>
      <c r="T136" s="47"/>
      <c r="U136" s="143"/>
    </row>
    <row r="137" spans="2:21" ht="12.75">
      <c r="B137" s="886"/>
      <c r="C137" s="1005"/>
      <c r="D137" s="886"/>
      <c r="E137" s="886"/>
      <c r="F137" s="886"/>
      <c r="G137" s="880"/>
      <c r="H137" s="44">
        <v>4</v>
      </c>
      <c r="I137" s="44"/>
      <c r="J137" s="60"/>
      <c r="K137" s="44"/>
      <c r="L137" s="60"/>
      <c r="N137" s="44">
        <v>4</v>
      </c>
      <c r="O137" s="954"/>
      <c r="P137" s="954"/>
      <c r="Q137" s="60"/>
      <c r="R137" s="61"/>
      <c r="S137" s="60"/>
      <c r="T137" s="47"/>
      <c r="U137" s="143"/>
    </row>
    <row r="138" spans="2:21" ht="14.25" customHeight="1">
      <c r="B138" s="28"/>
      <c r="C138" s="33" t="s">
        <v>56</v>
      </c>
      <c r="D138" s="89"/>
      <c r="E138" s="89" t="s">
        <v>184</v>
      </c>
      <c r="F138" s="140" t="s">
        <v>185</v>
      </c>
      <c r="G138" s="46"/>
      <c r="I138" s="20" t="s">
        <v>28</v>
      </c>
      <c r="J138" s="42">
        <f>R136</f>
        <v>113.03999999999999</v>
      </c>
      <c r="K138" t="s">
        <v>37</v>
      </c>
      <c r="L138">
        <v>1000</v>
      </c>
      <c r="M138" s="44" t="s">
        <v>42</v>
      </c>
      <c r="N138" s="161">
        <f>L132</f>
        <v>896</v>
      </c>
      <c r="O138" s="45" t="s">
        <v>28</v>
      </c>
      <c r="P138" s="916">
        <f>ROUNDDOWN(J138*L138/N138,-1)</f>
        <v>120</v>
      </c>
      <c r="Q138" s="916"/>
      <c r="R138" s="42" t="s">
        <v>26</v>
      </c>
      <c r="S138" s="60"/>
      <c r="T138" s="50"/>
      <c r="U138" s="143"/>
    </row>
    <row r="139" spans="2:21" ht="15">
      <c r="B139" s="28"/>
      <c r="C139" s="66"/>
      <c r="D139" s="28"/>
      <c r="E139" s="66" t="s">
        <v>55</v>
      </c>
      <c r="F139" s="36">
        <f>C136</f>
        <v>12</v>
      </c>
      <c r="G139" s="113" t="s">
        <v>186</v>
      </c>
      <c r="H139" s="82"/>
      <c r="I139" s="36"/>
      <c r="J139" s="958">
        <f>P138</f>
        <v>120</v>
      </c>
      <c r="K139" s="958"/>
      <c r="L139" s="82" t="s">
        <v>187</v>
      </c>
      <c r="M139" s="60"/>
      <c r="N139" s="60"/>
      <c r="O139" s="60"/>
      <c r="P139" s="60"/>
      <c r="Q139" s="60"/>
      <c r="R139" s="60"/>
      <c r="S139" s="60"/>
      <c r="T139" s="60"/>
      <c r="U139" s="143"/>
    </row>
    <row r="140" spans="2:21" ht="15">
      <c r="B140" s="28" t="s">
        <v>402</v>
      </c>
      <c r="C140" s="66"/>
      <c r="D140" s="28"/>
      <c r="E140" s="66"/>
      <c r="F140" s="36"/>
      <c r="G140" s="113"/>
      <c r="H140" s="82"/>
      <c r="I140" s="36"/>
      <c r="J140" s="289"/>
      <c r="K140" s="161"/>
      <c r="L140" s="34">
        <v>45</v>
      </c>
      <c r="M140" s="60" t="s">
        <v>37</v>
      </c>
      <c r="N140" s="44">
        <f>C136</f>
        <v>12</v>
      </c>
      <c r="O140" s="45" t="s">
        <v>28</v>
      </c>
      <c r="P140" s="44">
        <f>N140*L140</f>
        <v>540</v>
      </c>
      <c r="Q140" s="60" t="s">
        <v>26</v>
      </c>
      <c r="S140" s="60"/>
      <c r="T140" s="60"/>
      <c r="U140" s="143"/>
    </row>
    <row r="141" spans="2:21" ht="15">
      <c r="B141" s="27" t="s">
        <v>401</v>
      </c>
      <c r="C141" s="66"/>
      <c r="D141" s="12">
        <f>J13</f>
        <v>30</v>
      </c>
      <c r="E141" s="52" t="s">
        <v>403</v>
      </c>
      <c r="F141" s="36"/>
      <c r="G141" s="113"/>
      <c r="H141" s="82"/>
      <c r="I141" s="36"/>
      <c r="J141" s="289"/>
      <c r="K141" s="161"/>
      <c r="L141" s="82"/>
      <c r="M141" s="60"/>
      <c r="N141" s="44">
        <f>P49*1000</f>
        <v>1200.0000000000002</v>
      </c>
      <c r="O141" s="45" t="s">
        <v>41</v>
      </c>
      <c r="P141" s="44">
        <f>D141</f>
        <v>30</v>
      </c>
      <c r="Q141" s="45" t="s">
        <v>28</v>
      </c>
      <c r="R141" s="60">
        <f>N141-P141</f>
        <v>1170.0000000000002</v>
      </c>
      <c r="S141" s="60" t="s">
        <v>26</v>
      </c>
      <c r="T141" s="60"/>
      <c r="U141" s="143"/>
    </row>
    <row r="142" spans="2:21" ht="12.75" customHeight="1">
      <c r="B142" s="28"/>
      <c r="C142" s="66"/>
      <c r="D142" s="28">
        <f>R141</f>
        <v>1170.0000000000002</v>
      </c>
      <c r="E142" s="34" t="str">
        <f>IF(D142&gt;F142,"&gt;","&lt;")</f>
        <v>&gt;</v>
      </c>
      <c r="F142" s="36">
        <f>P140</f>
        <v>540</v>
      </c>
      <c r="G142" s="113"/>
      <c r="H142" s="82" t="str">
        <f>IF(D142&gt;F142,"Hence safe","Hence not safe ")</f>
        <v>Hence safe</v>
      </c>
      <c r="I142" s="36"/>
      <c r="J142" s="289"/>
      <c r="K142" s="161"/>
      <c r="L142" s="82"/>
      <c r="M142" s="60"/>
      <c r="N142" s="60"/>
      <c r="O142" s="45"/>
      <c r="P142" s="60"/>
      <c r="Q142" s="60"/>
      <c r="R142" s="60"/>
      <c r="S142" s="60"/>
      <c r="T142" s="177"/>
      <c r="U142" s="143"/>
    </row>
    <row r="143" spans="2:21" ht="14.25">
      <c r="B143" s="745" t="s">
        <v>223</v>
      </c>
      <c r="C143" s="744" t="s">
        <v>28</v>
      </c>
      <c r="D143" s="172">
        <v>0.12</v>
      </c>
      <c r="E143" s="745" t="s">
        <v>37</v>
      </c>
      <c r="F143" s="745">
        <v>1000</v>
      </c>
      <c r="G143" s="888" t="s">
        <v>37</v>
      </c>
      <c r="H143" s="64">
        <f>R128</f>
        <v>270</v>
      </c>
      <c r="I143" s="79" t="s">
        <v>39</v>
      </c>
      <c r="J143" s="169">
        <f>F129</f>
        <v>200</v>
      </c>
      <c r="K143" s="953" t="s">
        <v>28</v>
      </c>
      <c r="L143" s="754">
        <f>(D143/D144)*F143*((H143+J143)/H144)</f>
        <v>282</v>
      </c>
      <c r="M143" s="754"/>
      <c r="N143" s="886" t="s">
        <v>50</v>
      </c>
      <c r="O143" s="60"/>
      <c r="P143" s="60"/>
      <c r="Q143" s="60"/>
      <c r="R143" s="60"/>
      <c r="S143" s="60"/>
      <c r="T143" s="229"/>
      <c r="U143" s="143"/>
    </row>
    <row r="144" spans="2:22" ht="12.75">
      <c r="B144" s="745"/>
      <c r="C144" s="744"/>
      <c r="D144" s="7">
        <v>100</v>
      </c>
      <c r="E144" s="745"/>
      <c r="F144" s="745"/>
      <c r="G144" s="982"/>
      <c r="H144" s="754">
        <v>2</v>
      </c>
      <c r="I144" s="754"/>
      <c r="J144" s="754"/>
      <c r="K144" s="953"/>
      <c r="L144" s="754"/>
      <c r="M144" s="754"/>
      <c r="N144" s="886"/>
      <c r="O144" s="60"/>
      <c r="P144" s="60"/>
      <c r="Q144" s="60"/>
      <c r="R144" s="60"/>
      <c r="S144" s="60"/>
      <c r="T144" s="59"/>
      <c r="U144" s="143"/>
      <c r="V144" s="885"/>
    </row>
    <row r="145" spans="2:22" ht="14.25">
      <c r="B145" s="898" t="s">
        <v>63</v>
      </c>
      <c r="C145" s="977">
        <f>'Data sheet'!F32</f>
        <v>8</v>
      </c>
      <c r="D145" s="745" t="s">
        <v>213</v>
      </c>
      <c r="E145" s="745"/>
      <c r="F145" s="745"/>
      <c r="G145" s="702" t="s">
        <v>28</v>
      </c>
      <c r="H145" s="182" t="s">
        <v>214</v>
      </c>
      <c r="I145" s="744" t="s">
        <v>28</v>
      </c>
      <c r="J145" s="183">
        <v>3.14</v>
      </c>
      <c r="K145" s="183" t="s">
        <v>64</v>
      </c>
      <c r="L145" s="172">
        <f>C145</f>
        <v>8</v>
      </c>
      <c r="M145" s="184" t="s">
        <v>216</v>
      </c>
      <c r="N145" s="880" t="s">
        <v>28</v>
      </c>
      <c r="O145" s="916">
        <f>J145*L145^2/4</f>
        <v>50.24</v>
      </c>
      <c r="P145" s="916"/>
      <c r="Q145" s="877" t="s">
        <v>50</v>
      </c>
      <c r="R145" s="877"/>
      <c r="S145" s="60"/>
      <c r="T145" s="60"/>
      <c r="U145" s="143"/>
      <c r="V145" s="885"/>
    </row>
    <row r="146" spans="2:21" ht="12.75">
      <c r="B146" s="898"/>
      <c r="C146" s="977"/>
      <c r="D146" s="745"/>
      <c r="E146" s="745"/>
      <c r="F146" s="745"/>
      <c r="G146" s="702"/>
      <c r="H146" s="34">
        <v>4</v>
      </c>
      <c r="I146" s="745"/>
      <c r="J146" s="899">
        <v>4</v>
      </c>
      <c r="K146" s="899"/>
      <c r="L146" s="899"/>
      <c r="N146" s="886"/>
      <c r="O146" s="916"/>
      <c r="P146" s="916"/>
      <c r="Q146" s="877"/>
      <c r="R146" s="877"/>
      <c r="S146" s="60"/>
      <c r="T146" s="60"/>
      <c r="U146" s="143"/>
    </row>
    <row r="147" spans="2:21" ht="12.75">
      <c r="B147" s="27"/>
      <c r="C147" s="963" t="s">
        <v>56</v>
      </c>
      <c r="D147" s="920" t="s">
        <v>215</v>
      </c>
      <c r="E147" s="920"/>
      <c r="F147" s="185">
        <v>1000</v>
      </c>
      <c r="G147" s="69" t="s">
        <v>37</v>
      </c>
      <c r="H147" s="64">
        <f>O145</f>
        <v>50.24</v>
      </c>
      <c r="I147" s="731" t="s">
        <v>28</v>
      </c>
      <c r="J147" s="920">
        <f>F147*H147/F148</f>
        <v>178.15602836879432</v>
      </c>
      <c r="K147" s="916" t="s">
        <v>217</v>
      </c>
      <c r="L147" s="916"/>
      <c r="M147" s="880" t="s">
        <v>28</v>
      </c>
      <c r="N147" s="771">
        <f>ROUNDDOWN(J147,-1)</f>
        <v>170</v>
      </c>
      <c r="O147" s="733"/>
      <c r="P147" s="886" t="s">
        <v>187</v>
      </c>
      <c r="Q147" s="886"/>
      <c r="R147" s="60"/>
      <c r="S147" s="60"/>
      <c r="T147" s="60"/>
      <c r="U147" s="143"/>
    </row>
    <row r="148" spans="2:21" ht="12.75">
      <c r="B148" s="27"/>
      <c r="C148" s="771"/>
      <c r="D148" s="920"/>
      <c r="E148" s="920"/>
      <c r="F148" s="921">
        <f>L143</f>
        <v>282</v>
      </c>
      <c r="G148" s="754"/>
      <c r="H148" s="754"/>
      <c r="I148" s="771"/>
      <c r="J148" s="920"/>
      <c r="K148" s="916"/>
      <c r="L148" s="916"/>
      <c r="M148" s="886"/>
      <c r="N148" s="733"/>
      <c r="O148" s="733"/>
      <c r="P148" s="886"/>
      <c r="Q148" s="886"/>
      <c r="R148" s="60"/>
      <c r="S148" s="60"/>
      <c r="T148" s="60"/>
      <c r="U148" s="143"/>
    </row>
    <row r="149" spans="1:21" ht="14.25">
      <c r="A149">
        <v>6</v>
      </c>
      <c r="B149" s="231" t="s">
        <v>198</v>
      </c>
      <c r="C149" s="66"/>
      <c r="D149" s="28"/>
      <c r="L149" s="82"/>
      <c r="M149" s="60"/>
      <c r="N149" s="60"/>
      <c r="O149" s="60"/>
      <c r="P149" s="60"/>
      <c r="Q149" s="60"/>
      <c r="R149" s="60"/>
      <c r="S149" s="60"/>
      <c r="T149" s="60"/>
      <c r="U149" s="143"/>
    </row>
    <row r="150" spans="2:20" ht="12.75">
      <c r="B150" s="43"/>
      <c r="C150" s="66"/>
      <c r="D150" s="28"/>
      <c r="E150" s="60" t="s">
        <v>199</v>
      </c>
      <c r="F150" s="28"/>
      <c r="G150" s="28"/>
      <c r="H150" s="28"/>
      <c r="O150" s="28"/>
      <c r="P150" s="28"/>
      <c r="Q150" s="60"/>
      <c r="R150" s="60"/>
      <c r="S150" s="60"/>
      <c r="T150" s="60"/>
    </row>
    <row r="151" spans="2:24" ht="15">
      <c r="B151" s="1004" t="s">
        <v>503</v>
      </c>
      <c r="C151" s="1004"/>
      <c r="D151" s="1004"/>
      <c r="E151" s="376" t="s">
        <v>505</v>
      </c>
      <c r="F151" s="28"/>
      <c r="G151" s="379"/>
      <c r="H151" s="377"/>
      <c r="I151" s="377">
        <v>3</v>
      </c>
      <c r="J151" s="377" t="s">
        <v>504</v>
      </c>
      <c r="K151" s="377"/>
      <c r="L151" s="377"/>
      <c r="M151" s="377"/>
      <c r="N151" s="377"/>
      <c r="O151" s="410">
        <v>4</v>
      </c>
      <c r="P151" s="377" t="s">
        <v>200</v>
      </c>
      <c r="Q151" s="377"/>
      <c r="R151" s="377"/>
      <c r="S151" s="377"/>
      <c r="T151" s="60"/>
      <c r="V151" s="39">
        <f>J53</f>
        <v>3.7</v>
      </c>
      <c r="W151" s="113" t="s">
        <v>201</v>
      </c>
      <c r="X151" s="82"/>
    </row>
    <row r="152" spans="2:20" ht="15" customHeight="1">
      <c r="B152" s="1007" t="s">
        <v>506</v>
      </c>
      <c r="C152" s="744" t="s">
        <v>28</v>
      </c>
      <c r="D152" s="900">
        <f>L51</f>
        <v>0.8999999999999999</v>
      </c>
      <c r="E152" s="754" t="s">
        <v>37</v>
      </c>
      <c r="F152" s="170">
        <f>V151</f>
        <v>3.7</v>
      </c>
      <c r="G152" s="333" t="s">
        <v>39</v>
      </c>
      <c r="H152" s="35">
        <f>L68</f>
        <v>3.955163</v>
      </c>
      <c r="I152" s="771" t="s">
        <v>37</v>
      </c>
      <c r="J152" s="920">
        <f>J7</f>
        <v>18</v>
      </c>
      <c r="K152" s="953" t="s">
        <v>28</v>
      </c>
      <c r="L152" s="754">
        <f>J152*(H152+F152)*D152/F153</f>
        <v>62.006820299999994</v>
      </c>
      <c r="M152" s="886" t="s">
        <v>202</v>
      </c>
      <c r="N152" s="886"/>
      <c r="O152" s="880" t="s">
        <v>28</v>
      </c>
      <c r="P152" s="740">
        <f>ROUNDUP(L152,)</f>
        <v>63</v>
      </c>
      <c r="Q152" s="740"/>
      <c r="R152" s="886" t="s">
        <v>142</v>
      </c>
      <c r="S152" s="60"/>
      <c r="T152" s="60"/>
    </row>
    <row r="153" spans="2:20" ht="15" customHeight="1">
      <c r="B153" s="1007"/>
      <c r="C153" s="744"/>
      <c r="D153" s="900"/>
      <c r="E153" s="754"/>
      <c r="F153" s="1008">
        <v>2</v>
      </c>
      <c r="G153" s="1008"/>
      <c r="H153" s="1008"/>
      <c r="I153" s="771"/>
      <c r="J153" s="920"/>
      <c r="K153" s="953"/>
      <c r="L153" s="754"/>
      <c r="M153" s="886"/>
      <c r="N153" s="886"/>
      <c r="O153" s="880"/>
      <c r="P153" s="740"/>
      <c r="Q153" s="740"/>
      <c r="R153" s="886"/>
      <c r="S153" s="60"/>
      <c r="T153" s="60"/>
    </row>
    <row r="154" spans="2:20" ht="15" customHeight="1">
      <c r="B154" s="754" t="s">
        <v>203</v>
      </c>
      <c r="C154" s="950" t="s">
        <v>517</v>
      </c>
      <c r="D154" s="950"/>
      <c r="E154" s="744" t="s">
        <v>28</v>
      </c>
      <c r="F154" s="214">
        <f>F152</f>
        <v>3.7</v>
      </c>
      <c r="G154" s="179" t="s">
        <v>39</v>
      </c>
      <c r="H154" s="206">
        <v>2</v>
      </c>
      <c r="I154" s="206" t="s">
        <v>37</v>
      </c>
      <c r="J154" s="74">
        <f>H152</f>
        <v>3.955163</v>
      </c>
      <c r="K154" s="771" t="s">
        <v>37</v>
      </c>
      <c r="L154" s="13">
        <f>D152</f>
        <v>0.8999999999999999</v>
      </c>
      <c r="M154" s="744" t="s">
        <v>28</v>
      </c>
      <c r="N154" s="1011">
        <f>L154/L155*((F154+H154*J154)/(F155+I155))</f>
        <v>0.45499982168896996</v>
      </c>
      <c r="O154" s="1011"/>
      <c r="P154" s="877" t="s">
        <v>502</v>
      </c>
      <c r="Q154" s="877"/>
      <c r="R154" s="877"/>
      <c r="S154" s="60"/>
      <c r="T154" s="60"/>
    </row>
    <row r="155" spans="2:20" ht="15.75">
      <c r="B155" s="754"/>
      <c r="C155" s="942" t="s">
        <v>518</v>
      </c>
      <c r="D155" s="942"/>
      <c r="E155" s="744"/>
      <c r="F155" s="1009">
        <f>F154</f>
        <v>3.7</v>
      </c>
      <c r="G155" s="1010"/>
      <c r="H155" s="409" t="s">
        <v>39</v>
      </c>
      <c r="I155" s="968">
        <f>J154</f>
        <v>3.955163</v>
      </c>
      <c r="J155" s="968"/>
      <c r="K155" s="771"/>
      <c r="L155" s="71">
        <v>3</v>
      </c>
      <c r="M155" s="744"/>
      <c r="N155" s="1011"/>
      <c r="O155" s="1011"/>
      <c r="P155" s="877"/>
      <c r="Q155" s="877"/>
      <c r="R155" s="877"/>
      <c r="S155" s="60"/>
      <c r="T155" s="60"/>
    </row>
    <row r="156" spans="2:20" ht="15">
      <c r="B156" s="898" t="s">
        <v>205</v>
      </c>
      <c r="C156" s="898"/>
      <c r="D156" s="898"/>
      <c r="E156" s="38" t="s">
        <v>28</v>
      </c>
      <c r="F156" s="170">
        <f>D152</f>
        <v>0.8999999999999999</v>
      </c>
      <c r="G156" s="113" t="s">
        <v>37</v>
      </c>
      <c r="H156" s="34">
        <f>R129</f>
        <v>0.27</v>
      </c>
      <c r="I156" s="36" t="s">
        <v>37</v>
      </c>
      <c r="J156" s="41">
        <v>1</v>
      </c>
      <c r="K156" s="41" t="s">
        <v>37</v>
      </c>
      <c r="L156" s="34">
        <v>25</v>
      </c>
      <c r="M156" s="45" t="s">
        <v>28</v>
      </c>
      <c r="N156" s="945">
        <f>ROUNDUP(L156*J156*H156*F156,2)</f>
        <v>6.08</v>
      </c>
      <c r="O156" s="945"/>
      <c r="P156" s="60" t="s">
        <v>142</v>
      </c>
      <c r="Q156" s="60"/>
      <c r="R156" s="60"/>
      <c r="S156" s="60"/>
      <c r="T156" s="60"/>
    </row>
    <row r="157" spans="1:22" ht="15">
      <c r="A157" s="375"/>
      <c r="B157" s="60"/>
      <c r="C157" s="66"/>
      <c r="D157" s="399"/>
      <c r="E157" s="66"/>
      <c r="F157" s="36"/>
      <c r="G157" s="113"/>
      <c r="H157" s="82"/>
      <c r="I157" s="36"/>
      <c r="J157" s="397"/>
      <c r="K157" s="397"/>
      <c r="L157" s="82" t="s">
        <v>203</v>
      </c>
      <c r="M157" s="399"/>
      <c r="N157" s="39">
        <f>F156/2</f>
        <v>0.44999999999999996</v>
      </c>
      <c r="O157" s="399" t="s">
        <v>204</v>
      </c>
      <c r="P157" s="399"/>
      <c r="Q157" s="399"/>
      <c r="R157" s="399"/>
      <c r="S157" s="373"/>
      <c r="T157" s="60"/>
      <c r="U157" s="60"/>
      <c r="V157" s="112"/>
    </row>
    <row r="158" spans="1:22" ht="15.75">
      <c r="A158" s="375"/>
      <c r="B158" s="411"/>
      <c r="C158" s="399" t="s">
        <v>510</v>
      </c>
      <c r="D158" s="399"/>
      <c r="E158" s="179"/>
      <c r="F158" s="36"/>
      <c r="G158" s="113"/>
      <c r="H158" s="82"/>
      <c r="I158" s="36"/>
      <c r="J158" s="397"/>
      <c r="K158" s="397"/>
      <c r="L158" s="82"/>
      <c r="M158" s="399"/>
      <c r="N158" s="39"/>
      <c r="O158" s="399"/>
      <c r="P158" s="399"/>
      <c r="Q158" s="399"/>
      <c r="R158" s="399"/>
      <c r="S158" s="373"/>
      <c r="T158" s="60"/>
      <c r="U158" s="60"/>
      <c r="V158" s="112"/>
    </row>
    <row r="159" spans="1:22" ht="15" customHeight="1">
      <c r="A159" s="375"/>
      <c r="B159" s="33" t="s">
        <v>507</v>
      </c>
      <c r="D159" s="82" t="s">
        <v>511</v>
      </c>
      <c r="E159" s="82"/>
      <c r="F159" s="82"/>
      <c r="G159" s="82"/>
      <c r="H159" s="82"/>
      <c r="I159" s="82"/>
      <c r="J159" s="82"/>
      <c r="K159" s="82"/>
      <c r="L159" s="82"/>
      <c r="M159" s="82"/>
      <c r="N159" s="82"/>
      <c r="O159" s="82"/>
      <c r="P159" s="82"/>
      <c r="Q159" s="399"/>
      <c r="R159" s="411"/>
      <c r="S159" s="373"/>
      <c r="T159" s="60"/>
      <c r="U159" s="60"/>
      <c r="V159" s="112"/>
    </row>
    <row r="160" spans="1:22" ht="15.75">
      <c r="A160" s="236"/>
      <c r="B160" s="399"/>
      <c r="D160" s="52" t="s">
        <v>512</v>
      </c>
      <c r="E160" s="66"/>
      <c r="F160" s="36"/>
      <c r="G160" s="113"/>
      <c r="H160" s="82"/>
      <c r="I160" s="36"/>
      <c r="J160" s="397"/>
      <c r="K160" s="397"/>
      <c r="L160" s="82"/>
      <c r="M160" s="399"/>
      <c r="N160" s="39"/>
      <c r="O160" s="399"/>
      <c r="P160" s="399"/>
      <c r="Q160" s="399"/>
      <c r="R160" s="399" t="s">
        <v>509</v>
      </c>
      <c r="S160" s="373"/>
      <c r="T160" s="60"/>
      <c r="U160" s="60"/>
      <c r="V160" s="112"/>
    </row>
    <row r="161" spans="1:22" ht="15" customHeight="1">
      <c r="A161" s="236"/>
      <c r="B161" s="766" t="s">
        <v>513</v>
      </c>
      <c r="C161" s="766"/>
      <c r="D161" s="766"/>
      <c r="E161" s="766"/>
      <c r="F161" s="766"/>
      <c r="G161" s="766"/>
      <c r="H161" s="766"/>
      <c r="I161" s="766"/>
      <c r="J161" s="766"/>
      <c r="K161" s="766"/>
      <c r="L161" s="766"/>
      <c r="M161" s="766"/>
      <c r="N161" s="766"/>
      <c r="O161" s="766"/>
      <c r="P161" s="766"/>
      <c r="Q161" s="766"/>
      <c r="R161" s="399" t="s">
        <v>508</v>
      </c>
      <c r="S161" s="373"/>
      <c r="T161" s="60"/>
      <c r="U161" s="60"/>
      <c r="V161" s="112"/>
    </row>
    <row r="162" spans="1:22" ht="15">
      <c r="A162" s="236"/>
      <c r="B162" s="60"/>
      <c r="C162" s="47"/>
      <c r="D162" s="60" t="s">
        <v>514</v>
      </c>
      <c r="E162" s="89"/>
      <c r="F162" s="426"/>
      <c r="G162" s="394"/>
      <c r="H162" s="399"/>
      <c r="I162" s="426"/>
      <c r="J162" s="397"/>
      <c r="K162" s="397"/>
      <c r="L162" s="399"/>
      <c r="M162" s="399"/>
      <c r="N162" s="427"/>
      <c r="O162" s="399"/>
      <c r="P162" s="399"/>
      <c r="Q162" s="399"/>
      <c r="R162" s="399"/>
      <c r="S162" s="399"/>
      <c r="T162" s="60"/>
      <c r="U162" s="60"/>
      <c r="V162" s="112"/>
    </row>
    <row r="163" spans="1:22" ht="15.75">
      <c r="A163" s="236"/>
      <c r="B163" s="399"/>
      <c r="C163" s="428"/>
      <c r="D163" s="399"/>
      <c r="E163" s="768" t="s">
        <v>28</v>
      </c>
      <c r="F163" s="766" t="s">
        <v>515</v>
      </c>
      <c r="G163" s="1013" t="s">
        <v>524</v>
      </c>
      <c r="H163" s="1013"/>
      <c r="I163" s="897" t="s">
        <v>37</v>
      </c>
      <c r="J163" s="732" t="s">
        <v>519</v>
      </c>
      <c r="K163" s="732"/>
      <c r="L163" s="732"/>
      <c r="M163" s="399"/>
      <c r="N163" s="427"/>
      <c r="O163" s="399"/>
      <c r="P163" s="399"/>
      <c r="Q163" s="399"/>
      <c r="R163" s="399"/>
      <c r="S163" s="399"/>
      <c r="T163" s="60"/>
      <c r="U163" s="60"/>
      <c r="V163" s="112"/>
    </row>
    <row r="164" spans="1:22" ht="15">
      <c r="A164" s="236"/>
      <c r="B164" s="398"/>
      <c r="C164" s="411"/>
      <c r="D164" s="399"/>
      <c r="E164" s="768"/>
      <c r="F164" s="766"/>
      <c r="G164" s="927">
        <v>2</v>
      </c>
      <c r="H164" s="927"/>
      <c r="I164" s="897"/>
      <c r="J164" s="732"/>
      <c r="K164" s="732"/>
      <c r="L164" s="732"/>
      <c r="M164" s="399"/>
      <c r="N164" s="427"/>
      <c r="O164" s="399"/>
      <c r="P164" s="399"/>
      <c r="Q164" s="399"/>
      <c r="R164" s="399"/>
      <c r="S164" s="399"/>
      <c r="T164" s="60"/>
      <c r="U164" s="60"/>
      <c r="V164" s="112"/>
    </row>
    <row r="165" spans="1:22" ht="15" customHeight="1">
      <c r="A165" s="236"/>
      <c r="B165" s="399"/>
      <c r="C165" s="428"/>
      <c r="D165" s="399"/>
      <c r="E165" s="768" t="s">
        <v>28</v>
      </c>
      <c r="F165" s="361">
        <f>J54</f>
        <v>0.37947169491452154</v>
      </c>
      <c r="G165" s="394" t="s">
        <v>37</v>
      </c>
      <c r="H165" s="400">
        <f>L54</f>
        <v>18</v>
      </c>
      <c r="I165" s="897" t="s">
        <v>85</v>
      </c>
      <c r="J165" s="767">
        <f>F154</f>
        <v>3.7</v>
      </c>
      <c r="K165" s="918" t="s">
        <v>39</v>
      </c>
      <c r="L165" s="767">
        <f>J154</f>
        <v>3.955163</v>
      </c>
      <c r="M165" s="766" t="s">
        <v>90</v>
      </c>
      <c r="N165" s="883">
        <f>L154</f>
        <v>0.8999999999999999</v>
      </c>
      <c r="O165" s="766" t="s">
        <v>37</v>
      </c>
      <c r="P165" s="766">
        <f>N28</f>
        <v>0.2867</v>
      </c>
      <c r="Q165" s="766" t="s">
        <v>37</v>
      </c>
      <c r="R165" s="766">
        <f>F28</f>
        <v>0.2756</v>
      </c>
      <c r="S165" s="399"/>
      <c r="T165" s="60"/>
      <c r="U165" s="60"/>
      <c r="V165" s="112"/>
    </row>
    <row r="166" spans="1:22" ht="15">
      <c r="A166" s="236"/>
      <c r="B166" s="399"/>
      <c r="C166" s="428"/>
      <c r="D166" s="399"/>
      <c r="E166" s="768"/>
      <c r="F166" s="1012">
        <v>2</v>
      </c>
      <c r="G166" s="1012"/>
      <c r="H166" s="1012"/>
      <c r="I166" s="897"/>
      <c r="J166" s="767"/>
      <c r="K166" s="918"/>
      <c r="L166" s="767"/>
      <c r="M166" s="766"/>
      <c r="N166" s="883"/>
      <c r="O166" s="766"/>
      <c r="P166" s="766"/>
      <c r="Q166" s="766"/>
      <c r="R166" s="766"/>
      <c r="S166" s="399"/>
      <c r="T166" s="60"/>
      <c r="U166" s="60"/>
      <c r="V166" s="112"/>
    </row>
    <row r="167" spans="1:22" ht="15" customHeight="1">
      <c r="A167" s="236"/>
      <c r="B167" s="753" t="s">
        <v>525</v>
      </c>
      <c r="C167" s="753"/>
      <c r="D167" s="753"/>
      <c r="E167" s="398" t="s">
        <v>28</v>
      </c>
      <c r="F167" s="432">
        <f>F165*H165/F166*(J165+L165)*N165*P165*R165</f>
        <v>1.8591984756225903</v>
      </c>
      <c r="G167" s="399"/>
      <c r="H167" s="399" t="s">
        <v>142</v>
      </c>
      <c r="L167" s="732" t="s">
        <v>516</v>
      </c>
      <c r="M167" s="732"/>
      <c r="N167" s="732"/>
      <c r="O167" s="767">
        <f>N154</f>
        <v>0.45499982168896996</v>
      </c>
      <c r="P167" s="767"/>
      <c r="Q167" s="399"/>
      <c r="R167" s="361" t="str">
        <f>P154</f>
        <v>m from  B</v>
      </c>
      <c r="S167" s="398"/>
      <c r="T167" s="60"/>
      <c r="U167" s="60"/>
      <c r="V167" s="412"/>
    </row>
    <row r="168" spans="1:20" ht="14.25">
      <c r="A168" s="375"/>
      <c r="B168" s="892" t="s">
        <v>209</v>
      </c>
      <c r="C168" s="892"/>
      <c r="D168" s="892"/>
      <c r="E168" s="46" t="s">
        <v>28</v>
      </c>
      <c r="F168" s="436" t="s">
        <v>127</v>
      </c>
      <c r="G168" s="394" t="s">
        <v>45</v>
      </c>
      <c r="H168" s="395">
        <f>L113</f>
        <v>54.5854205878539</v>
      </c>
      <c r="I168" s="436" t="s">
        <v>39</v>
      </c>
      <c r="J168" s="396">
        <f>N107</f>
        <v>32.98504370035898</v>
      </c>
      <c r="K168" s="397" t="s">
        <v>90</v>
      </c>
      <c r="L168" s="395">
        <f>D152</f>
        <v>0.8999999999999999</v>
      </c>
      <c r="M168" s="398" t="s">
        <v>28</v>
      </c>
      <c r="N168" s="767">
        <f>ROUNDUP(0.5*(H168+J168)*L168,2)</f>
        <v>39.41</v>
      </c>
      <c r="O168" s="767"/>
      <c r="P168" s="399" t="s">
        <v>142</v>
      </c>
      <c r="Q168" s="399"/>
      <c r="R168" s="399"/>
      <c r="S168" s="373"/>
      <c r="T168" s="60"/>
    </row>
    <row r="169" spans="1:20" ht="14.25">
      <c r="A169" s="375"/>
      <c r="B169" s="399"/>
      <c r="C169" s="766" t="s">
        <v>203</v>
      </c>
      <c r="D169" s="766"/>
      <c r="E169" s="768" t="s">
        <v>28</v>
      </c>
      <c r="F169" s="402">
        <f>H168</f>
        <v>54.5854205878539</v>
      </c>
      <c r="G169" s="403" t="s">
        <v>39</v>
      </c>
      <c r="H169" s="435">
        <v>2</v>
      </c>
      <c r="I169" s="437" t="s">
        <v>37</v>
      </c>
      <c r="J169" s="404">
        <f>J168</f>
        <v>32.98504370035898</v>
      </c>
      <c r="K169" s="766" t="s">
        <v>37</v>
      </c>
      <c r="L169" s="405">
        <f>L168</f>
        <v>0.8999999999999999</v>
      </c>
      <c r="M169" s="768" t="s">
        <v>28</v>
      </c>
      <c r="N169" s="767">
        <f>(F169+H169*J169)/(F170+I170)*L169/L170</f>
        <v>0.4130005783404261</v>
      </c>
      <c r="O169" s="767"/>
      <c r="P169" s="957" t="s">
        <v>500</v>
      </c>
      <c r="Q169" s="957"/>
      <c r="R169" s="957"/>
      <c r="S169" s="373"/>
      <c r="T169" s="60"/>
    </row>
    <row r="170" spans="2:20" ht="14.25">
      <c r="B170" s="399"/>
      <c r="C170" s="766"/>
      <c r="D170" s="766"/>
      <c r="E170" s="766"/>
      <c r="F170" s="891">
        <f>F169</f>
        <v>54.5854205878539</v>
      </c>
      <c r="G170" s="891"/>
      <c r="H170" s="401" t="s">
        <v>39</v>
      </c>
      <c r="I170" s="767">
        <f>J169</f>
        <v>32.98504370035898</v>
      </c>
      <c r="J170" s="767"/>
      <c r="K170" s="766"/>
      <c r="L170" s="406">
        <v>3</v>
      </c>
      <c r="M170" s="766"/>
      <c r="N170" s="767"/>
      <c r="O170" s="767"/>
      <c r="P170" s="957"/>
      <c r="Q170" s="957"/>
      <c r="R170" s="957"/>
      <c r="S170" s="373"/>
      <c r="T170" s="60"/>
    </row>
    <row r="171" spans="1:20" ht="15">
      <c r="A171" s="375"/>
      <c r="B171" s="438" t="s">
        <v>56</v>
      </c>
      <c r="C171" s="52" t="s">
        <v>208</v>
      </c>
      <c r="D171" s="399"/>
      <c r="E171" s="38" t="s">
        <v>28</v>
      </c>
      <c r="F171" s="772" t="s">
        <v>521</v>
      </c>
      <c r="G171" s="772"/>
      <c r="H171" s="772"/>
      <c r="I171" s="332" t="s">
        <v>28</v>
      </c>
      <c r="J171" s="396">
        <f>P152</f>
        <v>63</v>
      </c>
      <c r="K171" s="431" t="s">
        <v>39</v>
      </c>
      <c r="L171" s="439">
        <f>N156</f>
        <v>6.08</v>
      </c>
      <c r="M171" s="401" t="s">
        <v>41</v>
      </c>
      <c r="N171" s="395">
        <f>N168</f>
        <v>39.41</v>
      </c>
      <c r="O171" s="398" t="s">
        <v>28</v>
      </c>
      <c r="P171" s="740">
        <f>J171+L171-N171</f>
        <v>29.67</v>
      </c>
      <c r="Q171" s="740"/>
      <c r="R171" s="399" t="s">
        <v>142</v>
      </c>
      <c r="S171" s="399"/>
      <c r="T171" s="60"/>
    </row>
    <row r="172" spans="1:20" ht="14.25">
      <c r="A172" s="375"/>
      <c r="B172" s="440" t="s">
        <v>520</v>
      </c>
      <c r="C172" s="38" t="s">
        <v>210</v>
      </c>
      <c r="D172" s="81">
        <f>J171</f>
        <v>63</v>
      </c>
      <c r="E172" s="63" t="s">
        <v>37</v>
      </c>
      <c r="F172" s="35">
        <f>N154</f>
        <v>0.45499982168896996</v>
      </c>
      <c r="G172" s="81" t="s">
        <v>211</v>
      </c>
      <c r="H172" s="397">
        <f>N156</f>
        <v>6.08</v>
      </c>
      <c r="I172" s="397" t="s">
        <v>37</v>
      </c>
      <c r="J172" s="439">
        <f>N157</f>
        <v>0.44999999999999996</v>
      </c>
      <c r="K172" s="411" t="s">
        <v>211</v>
      </c>
      <c r="L172" s="441">
        <f>F167</f>
        <v>1.8591984756225903</v>
      </c>
      <c r="M172" s="411" t="s">
        <v>37</v>
      </c>
      <c r="N172" s="441">
        <f>O167</f>
        <v>0.45499982168896996</v>
      </c>
      <c r="O172" s="399" t="s">
        <v>212</v>
      </c>
      <c r="P172" s="395">
        <f>N171</f>
        <v>39.41</v>
      </c>
      <c r="Q172" s="399" t="s">
        <v>37</v>
      </c>
      <c r="R172" s="395">
        <f>N169</f>
        <v>0.4130005783404261</v>
      </c>
      <c r="S172" s="399" t="s">
        <v>86</v>
      </c>
      <c r="T172" s="60"/>
    </row>
    <row r="173" spans="1:20" ht="16.5">
      <c r="A173" s="375"/>
      <c r="B173" s="399"/>
      <c r="C173" s="66"/>
      <c r="D173" s="399"/>
      <c r="E173" s="38" t="s">
        <v>28</v>
      </c>
      <c r="F173" s="39">
        <f>(D172*F172)+(H172*J172+(L172*N172)-(P172*R172))</f>
        <v>15.970570948901603</v>
      </c>
      <c r="G173" s="113" t="s">
        <v>37</v>
      </c>
      <c r="H173" s="82" t="s">
        <v>522</v>
      </c>
      <c r="I173" s="772" t="s">
        <v>523</v>
      </c>
      <c r="J173" s="772"/>
      <c r="K173" s="397"/>
      <c r="L173" s="82"/>
      <c r="M173" s="399"/>
      <c r="N173" s="399"/>
      <c r="O173" s="399"/>
      <c r="P173" s="399"/>
      <c r="Q173" s="399"/>
      <c r="R173" s="399"/>
      <c r="S173" s="399"/>
      <c r="T173" s="60"/>
    </row>
    <row r="174" spans="1:20" ht="15" customHeight="1">
      <c r="A174" s="375"/>
      <c r="B174" s="766" t="s">
        <v>530</v>
      </c>
      <c r="C174" s="766"/>
      <c r="D174" s="766"/>
      <c r="E174" s="766"/>
      <c r="F174" s="766"/>
      <c r="G174" s="766"/>
      <c r="H174" s="766"/>
      <c r="I174" s="766"/>
      <c r="J174" s="766"/>
      <c r="K174" s="766"/>
      <c r="L174" s="766"/>
      <c r="M174" s="766"/>
      <c r="N174" s="766"/>
      <c r="O174" s="766"/>
      <c r="P174" s="766"/>
      <c r="Q174" s="766"/>
      <c r="R174" s="766"/>
      <c r="T174" s="60"/>
    </row>
    <row r="175" spans="1:20" ht="15">
      <c r="A175" s="375"/>
      <c r="C175" t="s">
        <v>529</v>
      </c>
      <c r="D175" s="36">
        <f>F128</f>
        <v>210</v>
      </c>
      <c r="E175" s="754" t="s">
        <v>528</v>
      </c>
      <c r="F175" s="754"/>
      <c r="G175" s="754"/>
      <c r="H175" s="36">
        <f>R128</f>
        <v>270</v>
      </c>
      <c r="I175" s="755" t="s">
        <v>526</v>
      </c>
      <c r="J175" s="755"/>
      <c r="K175" s="755"/>
      <c r="L175" s="755"/>
      <c r="M175" s="755"/>
      <c r="N175" s="917">
        <f>F129</f>
        <v>200</v>
      </c>
      <c r="O175" s="917"/>
      <c r="P175" s="394" t="s">
        <v>527</v>
      </c>
      <c r="Q175" s="399"/>
      <c r="R175" s="399"/>
      <c r="S175" s="399"/>
      <c r="T175" s="60"/>
    </row>
    <row r="176" spans="1:20" ht="15" customHeight="1">
      <c r="A176" s="375"/>
      <c r="B176" s="909" t="s">
        <v>48</v>
      </c>
      <c r="C176" s="950" t="s">
        <v>432</v>
      </c>
      <c r="D176" s="950"/>
      <c r="E176" s="951" t="s">
        <v>28</v>
      </c>
      <c r="F176" s="914">
        <f>F173</f>
        <v>15.970570948901603</v>
      </c>
      <c r="G176" s="914"/>
      <c r="H176" s="404" t="s">
        <v>37</v>
      </c>
      <c r="I176" s="959" t="s">
        <v>49</v>
      </c>
      <c r="J176" s="959"/>
      <c r="K176" s="768" t="s">
        <v>28</v>
      </c>
      <c r="L176" s="771">
        <f>ROUNDUP(F176*1000000/F177/H177/J177,)</f>
        <v>366</v>
      </c>
      <c r="M176" s="771"/>
      <c r="N176" s="766" t="s">
        <v>50</v>
      </c>
      <c r="O176" s="399"/>
      <c r="P176" s="399"/>
      <c r="Q176" s="399"/>
      <c r="R176" s="399"/>
      <c r="S176" s="399"/>
      <c r="T176" s="60"/>
    </row>
    <row r="177" spans="1:20" ht="12.75">
      <c r="A177" s="375"/>
      <c r="B177" s="909"/>
      <c r="C177" s="960" t="s">
        <v>533</v>
      </c>
      <c r="D177" s="960"/>
      <c r="E177" s="951"/>
      <c r="F177" s="399">
        <f>D19</f>
        <v>230</v>
      </c>
      <c r="G177" s="399" t="s">
        <v>37</v>
      </c>
      <c r="H177" s="433">
        <f>L24</f>
        <v>0.9037971812398833</v>
      </c>
      <c r="I177" s="399" t="s">
        <v>37</v>
      </c>
      <c r="J177" s="394">
        <f>D175</f>
        <v>210</v>
      </c>
      <c r="K177" s="768"/>
      <c r="L177" s="771"/>
      <c r="M177" s="771"/>
      <c r="N177" s="766"/>
      <c r="O177" s="399"/>
      <c r="P177" s="399"/>
      <c r="Q177" s="399"/>
      <c r="R177" s="399"/>
      <c r="S177" s="399"/>
      <c r="T177" s="60"/>
    </row>
    <row r="178" spans="1:20" ht="12.75">
      <c r="A178" s="375"/>
      <c r="B178" s="24"/>
      <c r="C178" s="442"/>
      <c r="D178" s="890" t="s">
        <v>480</v>
      </c>
      <c r="E178" s="768" t="s">
        <v>28</v>
      </c>
      <c r="F178" s="234">
        <f>P171</f>
        <v>29.67</v>
      </c>
      <c r="G178" s="399" t="s">
        <v>37</v>
      </c>
      <c r="H178" s="399">
        <v>1000</v>
      </c>
      <c r="I178" s="769" t="s">
        <v>28</v>
      </c>
      <c r="J178" s="766">
        <f>F178*H178/(F179*H179)</f>
        <v>0.1412857142857143</v>
      </c>
      <c r="K178" s="766" t="s">
        <v>32</v>
      </c>
      <c r="L178" s="766"/>
      <c r="M178" s="766" t="s">
        <v>154</v>
      </c>
      <c r="N178" s="766" t="s">
        <v>534</v>
      </c>
      <c r="O178" s="766"/>
      <c r="P178" s="766"/>
      <c r="Q178" s="766"/>
      <c r="R178" s="766"/>
      <c r="S178" s="399"/>
      <c r="T178" s="60"/>
    </row>
    <row r="179" spans="1:20" ht="12.75">
      <c r="A179" s="375"/>
      <c r="B179" s="24"/>
      <c r="C179" s="442"/>
      <c r="D179" s="890"/>
      <c r="E179" s="768"/>
      <c r="F179" s="362">
        <v>1000</v>
      </c>
      <c r="G179" s="443" t="s">
        <v>37</v>
      </c>
      <c r="H179" s="444">
        <f>D175</f>
        <v>210</v>
      </c>
      <c r="I179" s="770"/>
      <c r="J179" s="766"/>
      <c r="K179" s="766"/>
      <c r="L179" s="766"/>
      <c r="M179" s="766"/>
      <c r="N179" s="766"/>
      <c r="O179" s="766"/>
      <c r="P179" s="766"/>
      <c r="Q179" s="766"/>
      <c r="R179" s="766"/>
      <c r="S179" s="399"/>
      <c r="T179" s="60"/>
    </row>
    <row r="180" spans="1:20" ht="14.25">
      <c r="A180" s="375"/>
      <c r="B180" s="753" t="s">
        <v>63</v>
      </c>
      <c r="C180" s="964">
        <f>'Data sheet'!F34</f>
        <v>10</v>
      </c>
      <c r="D180" s="766" t="s">
        <v>535</v>
      </c>
      <c r="E180" s="766"/>
      <c r="F180" s="766"/>
      <c r="G180" s="702" t="s">
        <v>28</v>
      </c>
      <c r="H180" s="182" t="s">
        <v>214</v>
      </c>
      <c r="I180" s="768" t="s">
        <v>28</v>
      </c>
      <c r="J180" s="445">
        <v>3.14</v>
      </c>
      <c r="K180" s="445" t="s">
        <v>64</v>
      </c>
      <c r="L180" s="446">
        <f>C180</f>
        <v>10</v>
      </c>
      <c r="M180" s="184" t="s">
        <v>216</v>
      </c>
      <c r="N180" s="768" t="s">
        <v>28</v>
      </c>
      <c r="O180" s="962">
        <f>J180*L180^2/4</f>
        <v>78.5</v>
      </c>
      <c r="P180" s="962"/>
      <c r="Q180" s="704" t="s">
        <v>50</v>
      </c>
      <c r="R180" s="704"/>
      <c r="S180" s="399"/>
      <c r="T180" s="60"/>
    </row>
    <row r="181" spans="1:20" ht="12.75">
      <c r="A181" s="375"/>
      <c r="B181" s="753"/>
      <c r="C181" s="964"/>
      <c r="D181" s="766"/>
      <c r="E181" s="766"/>
      <c r="F181" s="766"/>
      <c r="G181" s="702"/>
      <c r="H181" s="34">
        <v>4</v>
      </c>
      <c r="I181" s="766"/>
      <c r="J181" s="706">
        <v>4</v>
      </c>
      <c r="K181" s="706"/>
      <c r="L181" s="706"/>
      <c r="M181" s="411"/>
      <c r="N181" s="766"/>
      <c r="O181" s="962"/>
      <c r="P181" s="962"/>
      <c r="Q181" s="704"/>
      <c r="R181" s="704"/>
      <c r="S181" s="399"/>
      <c r="T181" s="60"/>
    </row>
    <row r="182" spans="1:20" ht="14.25" customHeight="1">
      <c r="A182" s="375"/>
      <c r="B182" s="411"/>
      <c r="C182" s="963" t="s">
        <v>56</v>
      </c>
      <c r="D182" s="732" t="s">
        <v>215</v>
      </c>
      <c r="E182" s="732"/>
      <c r="F182" s="82">
        <v>1000</v>
      </c>
      <c r="G182" s="399" t="s">
        <v>37</v>
      </c>
      <c r="H182" s="447">
        <f>O180</f>
        <v>78.5</v>
      </c>
      <c r="I182" s="731" t="s">
        <v>28</v>
      </c>
      <c r="J182" s="732">
        <f>F182*H182/F183</f>
        <v>214.4808743169399</v>
      </c>
      <c r="K182" s="732" t="s">
        <v>217</v>
      </c>
      <c r="L182" s="732"/>
      <c r="M182" s="768" t="s">
        <v>28</v>
      </c>
      <c r="N182" s="771">
        <f>ROUNDDOWN(J182,-1)</f>
        <v>210</v>
      </c>
      <c r="O182" s="733"/>
      <c r="P182" s="766" t="s">
        <v>187</v>
      </c>
      <c r="Q182" s="766"/>
      <c r="R182" s="399"/>
      <c r="S182" s="399"/>
      <c r="T182" s="47"/>
    </row>
    <row r="183" spans="1:20" ht="12.75">
      <c r="A183" s="375"/>
      <c r="B183" s="411"/>
      <c r="C183" s="771"/>
      <c r="D183" s="732"/>
      <c r="E183" s="732"/>
      <c r="F183" s="730">
        <f>L176</f>
        <v>366</v>
      </c>
      <c r="G183" s="869"/>
      <c r="H183" s="869"/>
      <c r="I183" s="771"/>
      <c r="J183" s="732"/>
      <c r="K183" s="732"/>
      <c r="L183" s="732"/>
      <c r="M183" s="766"/>
      <c r="N183" s="733"/>
      <c r="O183" s="733"/>
      <c r="P183" s="766"/>
      <c r="Q183" s="766"/>
      <c r="R183" s="399"/>
      <c r="S183" s="399"/>
      <c r="T183" s="47"/>
    </row>
    <row r="184" spans="1:20" ht="15">
      <c r="A184" s="375"/>
      <c r="B184" s="753" t="s">
        <v>218</v>
      </c>
      <c r="C184" s="753"/>
      <c r="D184" s="753"/>
      <c r="E184" s="753"/>
      <c r="F184" s="449">
        <f>N182</f>
        <v>210</v>
      </c>
      <c r="G184" s="411" t="s">
        <v>219</v>
      </c>
      <c r="H184" s="82"/>
      <c r="I184" s="36"/>
      <c r="J184" s="397"/>
      <c r="K184" s="397"/>
      <c r="L184" s="82"/>
      <c r="M184" s="399" t="s">
        <v>220</v>
      </c>
      <c r="N184" s="399"/>
      <c r="O184" s="399"/>
      <c r="P184" s="399"/>
      <c r="Q184" s="399"/>
      <c r="R184" s="399"/>
      <c r="S184" s="399"/>
      <c r="T184" s="50"/>
    </row>
    <row r="185" spans="1:20" ht="14.25">
      <c r="A185" s="375"/>
      <c r="B185" s="753" t="s">
        <v>221</v>
      </c>
      <c r="C185" s="753"/>
      <c r="D185" s="434">
        <v>45</v>
      </c>
      <c r="E185" s="434" t="s">
        <v>37</v>
      </c>
      <c r="F185" s="434" t="s">
        <v>17</v>
      </c>
      <c r="G185" s="450" t="s">
        <v>28</v>
      </c>
      <c r="H185" s="34">
        <v>45</v>
      </c>
      <c r="I185" s="81" t="s">
        <v>37</v>
      </c>
      <c r="J185" s="397">
        <f>C180</f>
        <v>10</v>
      </c>
      <c r="K185" s="431" t="s">
        <v>28</v>
      </c>
      <c r="L185" s="82">
        <f>J185*H185</f>
        <v>450</v>
      </c>
      <c r="M185" s="399" t="s">
        <v>541</v>
      </c>
      <c r="N185" s="399"/>
      <c r="O185" s="399"/>
      <c r="P185" s="399"/>
      <c r="Q185" s="399"/>
      <c r="R185" s="399"/>
      <c r="S185" s="399"/>
      <c r="T185" s="60"/>
    </row>
    <row r="186" spans="1:20" ht="14.25">
      <c r="A186" s="375"/>
      <c r="B186" s="886" t="s">
        <v>223</v>
      </c>
      <c r="C186" s="880" t="s">
        <v>28</v>
      </c>
      <c r="D186" s="26">
        <v>0.12</v>
      </c>
      <c r="E186" s="886" t="s">
        <v>37</v>
      </c>
      <c r="F186" s="886">
        <v>1000</v>
      </c>
      <c r="G186" s="877" t="s">
        <v>37</v>
      </c>
      <c r="H186" s="64">
        <f>D175</f>
        <v>210</v>
      </c>
      <c r="I186" s="79" t="s">
        <v>39</v>
      </c>
      <c r="J186" s="429">
        <f>H175</f>
        <v>270</v>
      </c>
      <c r="K186" s="918" t="s">
        <v>28</v>
      </c>
      <c r="L186" s="754">
        <f>(D186/D187)*F186*((H186+J186)/H187)</f>
        <v>288</v>
      </c>
      <c r="M186" s="754"/>
      <c r="N186" s="766" t="s">
        <v>50</v>
      </c>
      <c r="O186" s="399"/>
      <c r="P186" s="399"/>
      <c r="Q186" s="399"/>
      <c r="R186" s="411"/>
      <c r="S186" s="491" t="s">
        <v>531</v>
      </c>
      <c r="T186" s="60"/>
    </row>
    <row r="187" spans="1:20" ht="12.75">
      <c r="A187" s="375"/>
      <c r="B187" s="766"/>
      <c r="C187" s="768"/>
      <c r="D187" s="434">
        <v>100</v>
      </c>
      <c r="E187" s="766"/>
      <c r="F187" s="766"/>
      <c r="G187" s="703"/>
      <c r="H187" s="754">
        <v>2</v>
      </c>
      <c r="I187" s="754"/>
      <c r="J187" s="754"/>
      <c r="K187" s="918"/>
      <c r="L187" s="754"/>
      <c r="M187" s="754"/>
      <c r="N187" s="766"/>
      <c r="O187" s="399"/>
      <c r="P187" s="399"/>
      <c r="Q187" s="399"/>
      <c r="R187" s="399"/>
      <c r="S187" s="399"/>
      <c r="T187" s="60"/>
    </row>
    <row r="188" spans="1:20" ht="15" customHeight="1">
      <c r="A188" s="375"/>
      <c r="B188" s="753" t="s">
        <v>63</v>
      </c>
      <c r="C188" s="701">
        <f>'Data sheet'!F35</f>
        <v>8</v>
      </c>
      <c r="D188" s="766" t="s">
        <v>535</v>
      </c>
      <c r="E188" s="766"/>
      <c r="F188" s="766"/>
      <c r="G188" s="702" t="s">
        <v>28</v>
      </c>
      <c r="H188" s="182" t="s">
        <v>214</v>
      </c>
      <c r="I188" s="768" t="s">
        <v>28</v>
      </c>
      <c r="J188" s="445">
        <v>3.14</v>
      </c>
      <c r="K188" s="445" t="s">
        <v>64</v>
      </c>
      <c r="L188" s="446">
        <f>C188</f>
        <v>8</v>
      </c>
      <c r="M188" s="184" t="s">
        <v>216</v>
      </c>
      <c r="N188" s="768" t="s">
        <v>28</v>
      </c>
      <c r="O188" s="732">
        <f>J188*L188^2/4</f>
        <v>50.24</v>
      </c>
      <c r="P188" s="732"/>
      <c r="Q188" s="704" t="s">
        <v>50</v>
      </c>
      <c r="R188" s="704"/>
      <c r="S188" s="399"/>
      <c r="T188" s="60"/>
    </row>
    <row r="189" spans="1:20" ht="15" customHeight="1">
      <c r="A189" s="375"/>
      <c r="B189" s="753"/>
      <c r="C189" s="701"/>
      <c r="D189" s="766"/>
      <c r="E189" s="766"/>
      <c r="F189" s="766"/>
      <c r="G189" s="702"/>
      <c r="H189" s="34">
        <v>4</v>
      </c>
      <c r="I189" s="766"/>
      <c r="J189" s="706">
        <v>4</v>
      </c>
      <c r="K189" s="706"/>
      <c r="L189" s="706"/>
      <c r="M189" s="411"/>
      <c r="N189" s="766"/>
      <c r="O189" s="732"/>
      <c r="P189" s="732"/>
      <c r="Q189" s="704"/>
      <c r="R189" s="704"/>
      <c r="S189" s="399"/>
      <c r="T189" s="60"/>
    </row>
    <row r="190" spans="1:20" ht="15" customHeight="1">
      <c r="A190" s="375"/>
      <c r="B190" s="89"/>
      <c r="C190" s="963" t="s">
        <v>56</v>
      </c>
      <c r="D190" s="732" t="s">
        <v>215</v>
      </c>
      <c r="E190" s="732"/>
      <c r="F190" s="185">
        <v>1000</v>
      </c>
      <c r="G190" s="435" t="s">
        <v>37</v>
      </c>
      <c r="H190" s="64">
        <f>O188</f>
        <v>50.24</v>
      </c>
      <c r="I190" s="731" t="s">
        <v>28</v>
      </c>
      <c r="J190" s="732">
        <f>F190*H190/F191</f>
        <v>174.44444444444446</v>
      </c>
      <c r="K190" s="732" t="s">
        <v>217</v>
      </c>
      <c r="L190" s="732"/>
      <c r="M190" s="768" t="s">
        <v>28</v>
      </c>
      <c r="N190" s="771">
        <f>ROUNDDOWN(J190,-1)</f>
        <v>170</v>
      </c>
      <c r="O190" s="733"/>
      <c r="P190" s="766" t="s">
        <v>187</v>
      </c>
      <c r="Q190" s="766"/>
      <c r="R190" s="399"/>
      <c r="S190" s="399"/>
      <c r="T190" s="60"/>
    </row>
    <row r="191" spans="1:20" ht="15" customHeight="1">
      <c r="A191" s="375"/>
      <c r="B191" s="416"/>
      <c r="C191" s="771"/>
      <c r="D191" s="732"/>
      <c r="E191" s="732"/>
      <c r="F191" s="921">
        <f>L186</f>
        <v>288</v>
      </c>
      <c r="G191" s="754"/>
      <c r="H191" s="754"/>
      <c r="I191" s="771"/>
      <c r="J191" s="732"/>
      <c r="K191" s="732"/>
      <c r="L191" s="732"/>
      <c r="M191" s="766"/>
      <c r="N191" s="733"/>
      <c r="O191" s="733"/>
      <c r="P191" s="766"/>
      <c r="Q191" s="766"/>
      <c r="R191" s="399"/>
      <c r="S191" s="399"/>
      <c r="T191" s="60"/>
    </row>
    <row r="192" spans="1:20" ht="12.75">
      <c r="A192" s="375"/>
      <c r="B192" s="871" t="s">
        <v>295</v>
      </c>
      <c r="C192" s="871"/>
      <c r="D192" s="871"/>
      <c r="E192" s="871"/>
      <c r="F192" s="449" t="s">
        <v>296</v>
      </c>
      <c r="G192" s="450" t="s">
        <v>28</v>
      </c>
      <c r="H192" s="471">
        <f>L176</f>
        <v>366</v>
      </c>
      <c r="I192" s="434" t="s">
        <v>42</v>
      </c>
      <c r="J192" s="449">
        <f>O180</f>
        <v>78.5</v>
      </c>
      <c r="K192" s="472" t="s">
        <v>28</v>
      </c>
      <c r="L192" s="405">
        <f>H192/J192</f>
        <v>4.662420382165605</v>
      </c>
      <c r="M192" s="405"/>
      <c r="N192" s="411" t="s">
        <v>297</v>
      </c>
      <c r="O192" s="472" t="s">
        <v>28</v>
      </c>
      <c r="P192" s="449">
        <f>ROUNDUP(L192,0)</f>
        <v>5</v>
      </c>
      <c r="Q192" s="411" t="s">
        <v>298</v>
      </c>
      <c r="R192" s="411"/>
      <c r="S192" s="373"/>
      <c r="T192" s="60"/>
    </row>
    <row r="193" spans="1:20" ht="15">
      <c r="A193" s="375"/>
      <c r="B193" s="965" t="s">
        <v>55</v>
      </c>
      <c r="C193" s="965"/>
      <c r="D193" s="414">
        <f>P192</f>
        <v>5</v>
      </c>
      <c r="E193" s="473" t="s">
        <v>299</v>
      </c>
      <c r="F193" s="473"/>
      <c r="G193" s="958">
        <f>C180</f>
        <v>10</v>
      </c>
      <c r="H193" s="958"/>
      <c r="I193" s="474" t="s">
        <v>538</v>
      </c>
      <c r="J193" s="4"/>
      <c r="K193" s="411"/>
      <c r="L193" s="411"/>
      <c r="M193" s="475"/>
      <c r="N193" s="411"/>
      <c r="O193" s="472"/>
      <c r="P193" s="449"/>
      <c r="Q193" s="411"/>
      <c r="R193" s="471"/>
      <c r="S193" s="373"/>
      <c r="T193" s="60"/>
    </row>
    <row r="194" spans="1:20" ht="12.75">
      <c r="A194" s="375"/>
      <c r="B194" s="878" t="s">
        <v>300</v>
      </c>
      <c r="C194" s="878"/>
      <c r="D194" s="878"/>
      <c r="E194" s="878"/>
      <c r="F194" s="476">
        <f>P192</f>
        <v>5</v>
      </c>
      <c r="G194" s="477" t="s">
        <v>37</v>
      </c>
      <c r="H194" s="476">
        <f>O180</f>
        <v>78.5</v>
      </c>
      <c r="I194" s="754" t="s">
        <v>37</v>
      </c>
      <c r="J194" s="754">
        <f>100</f>
        <v>100</v>
      </c>
      <c r="K194" s="768" t="s">
        <v>28</v>
      </c>
      <c r="L194" s="767">
        <f>ROUNDUP(F194*H194/F195/H195*J194,2)</f>
        <v>0.15000000000000002</v>
      </c>
      <c r="M194" s="766" t="s">
        <v>60</v>
      </c>
      <c r="N194" s="706"/>
      <c r="O194" s="411"/>
      <c r="P194" s="411"/>
      <c r="Q194" s="411"/>
      <c r="R194" s="411"/>
      <c r="S194" s="373"/>
      <c r="T194" s="60"/>
    </row>
    <row r="195" spans="1:20" ht="14.25" customHeight="1">
      <c r="A195" s="375"/>
      <c r="B195" s="878"/>
      <c r="C195" s="878"/>
      <c r="D195" s="878"/>
      <c r="E195" s="878"/>
      <c r="F195" s="478">
        <f>1000</f>
        <v>1000</v>
      </c>
      <c r="G195" s="478" t="s">
        <v>37</v>
      </c>
      <c r="H195" s="479">
        <f>H175</f>
        <v>270</v>
      </c>
      <c r="I195" s="754"/>
      <c r="J195" s="754"/>
      <c r="K195" s="768"/>
      <c r="L195" s="767"/>
      <c r="M195" s="766"/>
      <c r="N195" s="706"/>
      <c r="O195" s="411"/>
      <c r="P195" s="411"/>
      <c r="Q195" s="411"/>
      <c r="R195" s="411"/>
      <c r="S195" s="373"/>
      <c r="T195" s="60"/>
    </row>
    <row r="196" spans="1:20" ht="14.25" customHeight="1">
      <c r="A196" s="375"/>
      <c r="B196" s="878" t="s">
        <v>539</v>
      </c>
      <c r="C196" s="878"/>
      <c r="D196" s="878"/>
      <c r="E196" s="937" t="s">
        <v>28</v>
      </c>
      <c r="F196" s="967" t="s">
        <v>386</v>
      </c>
      <c r="G196" s="967"/>
      <c r="H196" s="967"/>
      <c r="I196" s="937" t="s">
        <v>28</v>
      </c>
      <c r="J196" s="480">
        <f>P171</f>
        <v>29.67</v>
      </c>
      <c r="K196" s="481" t="s">
        <v>37</v>
      </c>
      <c r="L196" s="446">
        <v>1000</v>
      </c>
      <c r="M196" s="768" t="s">
        <v>28</v>
      </c>
      <c r="N196" s="767">
        <f>J196*L196/(J197*L197)</f>
        <v>0.1412857142857143</v>
      </c>
      <c r="O196" s="767"/>
      <c r="P196" s="704" t="s">
        <v>32</v>
      </c>
      <c r="Q196" s="704"/>
      <c r="R196" s="704"/>
      <c r="S196" s="373"/>
      <c r="T196" s="60"/>
    </row>
    <row r="197" spans="1:20" ht="14.25" customHeight="1">
      <c r="A197" s="375"/>
      <c r="B197" s="878"/>
      <c r="C197" s="878"/>
      <c r="D197" s="878"/>
      <c r="E197" s="754"/>
      <c r="F197" s="482" t="s">
        <v>301</v>
      </c>
      <c r="G197" s="483"/>
      <c r="H197" s="484"/>
      <c r="I197" s="754"/>
      <c r="J197" s="434">
        <v>1000</v>
      </c>
      <c r="K197" s="434" t="s">
        <v>37</v>
      </c>
      <c r="L197" s="449">
        <f>D175</f>
        <v>210</v>
      </c>
      <c r="M197" s="766"/>
      <c r="N197" s="767"/>
      <c r="O197" s="767"/>
      <c r="P197" s="704"/>
      <c r="Q197" s="704"/>
      <c r="R197" s="704"/>
      <c r="S197" s="373"/>
      <c r="T197" s="60"/>
    </row>
    <row r="198" spans="1:20" ht="15.75">
      <c r="A198" s="375"/>
      <c r="B198" s="873" t="s">
        <v>302</v>
      </c>
      <c r="C198" s="873"/>
      <c r="D198" s="873"/>
      <c r="E198" s="873"/>
      <c r="F198" s="485">
        <f>L194</f>
        <v>0.15000000000000002</v>
      </c>
      <c r="G198" s="486" t="s">
        <v>60</v>
      </c>
      <c r="H198" s="874" t="s">
        <v>540</v>
      </c>
      <c r="I198" s="874"/>
      <c r="J198" s="874"/>
      <c r="K198" s="398" t="s">
        <v>28</v>
      </c>
      <c r="L198" s="488">
        <f>VLOOKUP(L194,'IS-Table'!A54:B354,2)</f>
        <v>0.18</v>
      </c>
      <c r="M198" s="875" t="s">
        <v>32</v>
      </c>
      <c r="N198" s="875"/>
      <c r="O198" s="489" t="s">
        <v>303</v>
      </c>
      <c r="P198" s="489"/>
      <c r="Q198" s="489"/>
      <c r="R198" s="489"/>
      <c r="S198" s="373"/>
      <c r="T198" s="60"/>
    </row>
    <row r="199" spans="1:20" ht="12.75">
      <c r="A199" s="375"/>
      <c r="B199" s="687" t="s">
        <v>536</v>
      </c>
      <c r="C199" s="687"/>
      <c r="D199" s="687"/>
      <c r="E199" s="687"/>
      <c r="F199" s="485" t="s">
        <v>537</v>
      </c>
      <c r="G199" s="486"/>
      <c r="H199" s="485">
        <f>L198</f>
        <v>0.18</v>
      </c>
      <c r="I199" s="487" t="str">
        <f>IF(H199&gt;J199,"&gt;","&lt;")</f>
        <v>&gt;</v>
      </c>
      <c r="J199" s="485">
        <f>N196</f>
        <v>0.1412857142857143</v>
      </c>
      <c r="K199" s="490"/>
      <c r="L199" s="688" t="str">
        <f>IF(H199&gt;J199,"Hence Safe","Hence not safe")</f>
        <v>Hence Safe</v>
      </c>
      <c r="M199" s="688"/>
      <c r="N199" s="688"/>
      <c r="O199" s="688"/>
      <c r="P199" s="688"/>
      <c r="Q199" s="688"/>
      <c r="R199" s="688"/>
      <c r="S199" s="466"/>
      <c r="T199" s="60"/>
    </row>
    <row r="200" spans="1:20" ht="12.75">
      <c r="A200" s="375"/>
      <c r="B200" s="388"/>
      <c r="C200" s="388"/>
      <c r="D200" s="388"/>
      <c r="E200" s="388"/>
      <c r="F200" s="380"/>
      <c r="G200" s="381"/>
      <c r="H200" s="380"/>
      <c r="I200" s="413"/>
      <c r="J200" s="380"/>
      <c r="K200" s="465"/>
      <c r="L200" s="378"/>
      <c r="M200" s="378"/>
      <c r="N200" s="378"/>
      <c r="O200" s="378"/>
      <c r="P200" s="378"/>
      <c r="Q200" s="378"/>
      <c r="R200" s="378"/>
      <c r="S200" s="466"/>
      <c r="T200" s="60"/>
    </row>
    <row r="201" spans="1:20" ht="15">
      <c r="A201" s="501">
        <v>7</v>
      </c>
      <c r="B201" s="231" t="s">
        <v>304</v>
      </c>
      <c r="C201" s="43"/>
      <c r="D201" s="397"/>
      <c r="E201" s="397"/>
      <c r="F201" s="63"/>
      <c r="G201" s="34"/>
      <c r="H201" s="34"/>
      <c r="I201" s="36"/>
      <c r="J201" s="397"/>
      <c r="K201" s="492"/>
      <c r="L201" s="492"/>
      <c r="M201" s="415"/>
      <c r="N201" s="415"/>
      <c r="O201" s="415"/>
      <c r="P201" s="415"/>
      <c r="Q201" s="415"/>
      <c r="R201" s="493"/>
      <c r="S201" s="493"/>
      <c r="T201" s="60"/>
    </row>
    <row r="202" spans="1:20" ht="14.25">
      <c r="A202" s="501"/>
      <c r="B202" s="494"/>
      <c r="C202" s="495"/>
      <c r="D202" s="496"/>
      <c r="E202" s="497" t="s">
        <v>305</v>
      </c>
      <c r="F202" s="496"/>
      <c r="G202" s="495"/>
      <c r="H202" s="190"/>
      <c r="I202" s="498"/>
      <c r="J202" s="498"/>
      <c r="K202" s="431"/>
      <c r="L202" s="82"/>
      <c r="M202" s="399"/>
      <c r="N202" s="399"/>
      <c r="O202" s="398" t="s">
        <v>28</v>
      </c>
      <c r="P202" s="395">
        <f>P50</f>
        <v>0.3</v>
      </c>
      <c r="Q202" s="399" t="s">
        <v>15</v>
      </c>
      <c r="R202" s="399"/>
      <c r="S202" s="399"/>
      <c r="T202" s="60"/>
    </row>
    <row r="203" spans="1:20" ht="18.75">
      <c r="A203" s="501"/>
      <c r="B203" s="756" t="s">
        <v>306</v>
      </c>
      <c r="C203" s="756"/>
      <c r="D203" s="756"/>
      <c r="E203" s="756"/>
      <c r="F203" s="456">
        <f>H175/1000</f>
        <v>0.27</v>
      </c>
      <c r="G203" s="494" t="s">
        <v>307</v>
      </c>
      <c r="H203" s="190"/>
      <c r="I203" s="498" t="s">
        <v>545</v>
      </c>
      <c r="J203" s="498"/>
      <c r="K203" s="431"/>
      <c r="L203" s="82"/>
      <c r="M203" s="399"/>
      <c r="N203" s="396">
        <f>J6+J15</f>
        <v>4</v>
      </c>
      <c r="O203" s="401" t="s">
        <v>41</v>
      </c>
      <c r="P203" s="400">
        <f>F203</f>
        <v>0.27</v>
      </c>
      <c r="Q203" s="401" t="s">
        <v>28</v>
      </c>
      <c r="R203" s="39">
        <f>N203-P203</f>
        <v>3.73</v>
      </c>
      <c r="S203" s="491" t="s">
        <v>15</v>
      </c>
      <c r="T203" s="60"/>
    </row>
    <row r="204" spans="1:20" ht="14.25">
      <c r="A204" s="501"/>
      <c r="B204" s="756" t="s">
        <v>546</v>
      </c>
      <c r="C204" s="756"/>
      <c r="D204" s="756"/>
      <c r="E204" s="456" t="s">
        <v>542</v>
      </c>
      <c r="F204" s="749" t="s">
        <v>440</v>
      </c>
      <c r="G204" s="757" t="s">
        <v>28</v>
      </c>
      <c r="H204" s="190">
        <f>F165</f>
        <v>0.37947169491452154</v>
      </c>
      <c r="I204" s="206" t="s">
        <v>37</v>
      </c>
      <c r="J204" s="498">
        <f>H165</f>
        <v>18</v>
      </c>
      <c r="K204" s="732" t="s">
        <v>45</v>
      </c>
      <c r="L204" s="1017">
        <f>R203</f>
        <v>3.73</v>
      </c>
      <c r="M204" s="766" t="s">
        <v>547</v>
      </c>
      <c r="N204" s="767">
        <f>H204*J204/H205*L204^2</f>
        <v>47.515965697586225</v>
      </c>
      <c r="O204" s="767"/>
      <c r="P204" s="766" t="s">
        <v>142</v>
      </c>
      <c r="Q204" s="768" t="s">
        <v>28</v>
      </c>
      <c r="R204" s="883" t="s">
        <v>548</v>
      </c>
      <c r="S204" s="491"/>
      <c r="T204" s="60"/>
    </row>
    <row r="205" spans="1:20" ht="15" customHeight="1">
      <c r="A205" s="501"/>
      <c r="B205" s="756"/>
      <c r="C205" s="756"/>
      <c r="D205" s="756"/>
      <c r="E205" s="499">
        <v>2</v>
      </c>
      <c r="F205" s="749"/>
      <c r="G205" s="757"/>
      <c r="H205" s="1016">
        <v>2</v>
      </c>
      <c r="I205" s="1016"/>
      <c r="J205" s="1016"/>
      <c r="K205" s="918"/>
      <c r="L205" s="754"/>
      <c r="M205" s="766"/>
      <c r="N205" s="767"/>
      <c r="O205" s="767"/>
      <c r="P205" s="766"/>
      <c r="Q205" s="768"/>
      <c r="R205" s="883"/>
      <c r="S205" s="491"/>
      <c r="T205" s="60"/>
    </row>
    <row r="206" spans="1:20" ht="15.75">
      <c r="A206" s="501"/>
      <c r="B206" s="753" t="s">
        <v>479</v>
      </c>
      <c r="C206" s="768" t="s">
        <v>28</v>
      </c>
      <c r="D206" s="400" t="s">
        <v>543</v>
      </c>
      <c r="E206" s="400" t="s">
        <v>37</v>
      </c>
      <c r="F206" s="449" t="s">
        <v>318</v>
      </c>
      <c r="G206" s="768" t="s">
        <v>28</v>
      </c>
      <c r="H206" s="35">
        <f>N204</f>
        <v>47.515965697586225</v>
      </c>
      <c r="I206" s="81" t="s">
        <v>37</v>
      </c>
      <c r="J206" s="439">
        <f>R203</f>
        <v>3.73</v>
      </c>
      <c r="K206" s="397"/>
      <c r="L206" s="411"/>
      <c r="M206" s="399"/>
      <c r="N206" s="768" t="s">
        <v>28</v>
      </c>
      <c r="O206" s="961">
        <f>H206*J206/H207</f>
        <v>59.078184017332205</v>
      </c>
      <c r="P206" s="961"/>
      <c r="Q206" s="704" t="s">
        <v>137</v>
      </c>
      <c r="R206" s="704"/>
      <c r="S206" s="411"/>
      <c r="T206" s="60"/>
    </row>
    <row r="207" spans="1:20" ht="12.75">
      <c r="A207" s="501"/>
      <c r="B207" s="753"/>
      <c r="C207" s="768"/>
      <c r="D207" s="966">
        <v>3</v>
      </c>
      <c r="E207" s="966"/>
      <c r="F207" s="966"/>
      <c r="G207" s="768"/>
      <c r="H207" s="730">
        <v>3</v>
      </c>
      <c r="I207" s="730"/>
      <c r="J207" s="730"/>
      <c r="K207" s="91"/>
      <c r="L207" s="91"/>
      <c r="M207" s="399"/>
      <c r="N207" s="766"/>
      <c r="O207" s="961"/>
      <c r="P207" s="961"/>
      <c r="Q207" s="704"/>
      <c r="R207" s="704"/>
      <c r="S207" s="399"/>
      <c r="T207" s="60"/>
    </row>
    <row r="208" spans="1:20" ht="15">
      <c r="A208" s="501"/>
      <c r="B208" s="969" t="s">
        <v>181</v>
      </c>
      <c r="C208" s="969"/>
      <c r="D208" s="969"/>
      <c r="E208" s="401" t="s">
        <v>28</v>
      </c>
      <c r="F208" s="500">
        <f>F61</f>
        <v>250</v>
      </c>
      <c r="G208" s="556" t="s">
        <v>108</v>
      </c>
      <c r="H208" s="456"/>
      <c r="I208" s="495"/>
      <c r="J208" s="494"/>
      <c r="K208" s="457"/>
      <c r="L208" s="504"/>
      <c r="M208" s="452" t="s">
        <v>28</v>
      </c>
      <c r="N208" s="449">
        <f>F208</f>
        <v>250</v>
      </c>
      <c r="O208" s="398" t="s">
        <v>39</v>
      </c>
      <c r="P208" s="400">
        <f>J13*2</f>
        <v>60</v>
      </c>
      <c r="Q208" s="401" t="s">
        <v>28</v>
      </c>
      <c r="R208" s="157">
        <f>P208+N208</f>
        <v>310</v>
      </c>
      <c r="S208" s="50" t="s">
        <v>26</v>
      </c>
      <c r="T208" s="60"/>
    </row>
    <row r="209" spans="1:20" ht="15">
      <c r="A209" s="501"/>
      <c r="B209" s="949" t="s">
        <v>112</v>
      </c>
      <c r="C209" s="949"/>
      <c r="D209" s="949"/>
      <c r="E209" s="401" t="s">
        <v>28</v>
      </c>
      <c r="F209" s="157">
        <v>200</v>
      </c>
      <c r="G209" s="399" t="s">
        <v>206</v>
      </c>
      <c r="H209" s="399"/>
      <c r="I209" s="947">
        <f>F209/1000</f>
        <v>0.2</v>
      </c>
      <c r="J209" s="947"/>
      <c r="K209" s="428" t="s">
        <v>207</v>
      </c>
      <c r="L209" s="411"/>
      <c r="M209" s="411"/>
      <c r="N209" s="397"/>
      <c r="O209" s="399"/>
      <c r="P209" s="399"/>
      <c r="Q209" s="428"/>
      <c r="R209" s="415"/>
      <c r="S209" s="399"/>
      <c r="T209" s="60"/>
    </row>
    <row r="210" spans="1:20" ht="15.75" customHeight="1">
      <c r="A210" s="501"/>
      <c r="B210" s="909" t="s">
        <v>48</v>
      </c>
      <c r="C210" s="950" t="s">
        <v>549</v>
      </c>
      <c r="D210" s="950"/>
      <c r="E210" s="950"/>
      <c r="F210" s="914">
        <f>O206</f>
        <v>59.078184017332205</v>
      </c>
      <c r="G210" s="914"/>
      <c r="H210" s="404" t="s">
        <v>37</v>
      </c>
      <c r="I210" s="959" t="s">
        <v>49</v>
      </c>
      <c r="J210" s="959"/>
      <c r="K210" s="768" t="s">
        <v>28</v>
      </c>
      <c r="L210" s="771">
        <f>ROUNDUP(F210*1000000/F211/H211/J211,)</f>
        <v>1137</v>
      </c>
      <c r="M210" s="771"/>
      <c r="N210" s="766" t="s">
        <v>50</v>
      </c>
      <c r="O210" s="399"/>
      <c r="P210" s="399"/>
      <c r="Q210" s="399"/>
      <c r="R210" s="399"/>
      <c r="S210" s="399"/>
      <c r="T210" s="60"/>
    </row>
    <row r="211" spans="1:20" ht="14.25" customHeight="1">
      <c r="A211" s="501"/>
      <c r="B211" s="909"/>
      <c r="C211" s="950"/>
      <c r="D211" s="950"/>
      <c r="E211" s="950"/>
      <c r="F211" s="399">
        <f>F177</f>
        <v>230</v>
      </c>
      <c r="G211" s="399" t="s">
        <v>37</v>
      </c>
      <c r="H211" s="433">
        <f>H177</f>
        <v>0.9037971812398833</v>
      </c>
      <c r="I211" s="399" t="s">
        <v>37</v>
      </c>
      <c r="J211" s="394">
        <f>F208</f>
        <v>250</v>
      </c>
      <c r="K211" s="768"/>
      <c r="L211" s="771"/>
      <c r="M211" s="771"/>
      <c r="N211" s="766"/>
      <c r="O211" s="399"/>
      <c r="P211" s="399"/>
      <c r="Q211" s="399"/>
      <c r="R211" s="399"/>
      <c r="S211" s="399"/>
      <c r="T211" s="192"/>
    </row>
    <row r="212" spans="1:19" ht="14.25" customHeight="1">
      <c r="A212" s="501"/>
      <c r="B212" s="753" t="s">
        <v>63</v>
      </c>
      <c r="C212" s="964">
        <f>'Data sheet'!F24</f>
        <v>12</v>
      </c>
      <c r="D212" s="766" t="s">
        <v>535</v>
      </c>
      <c r="E212" s="766"/>
      <c r="F212" s="766"/>
      <c r="G212" s="702" t="s">
        <v>28</v>
      </c>
      <c r="H212" s="182" t="s">
        <v>214</v>
      </c>
      <c r="I212" s="768" t="s">
        <v>28</v>
      </c>
      <c r="J212" s="445">
        <v>3.14</v>
      </c>
      <c r="K212" s="445" t="s">
        <v>64</v>
      </c>
      <c r="L212" s="446">
        <f>C212</f>
        <v>12</v>
      </c>
      <c r="M212" s="184" t="s">
        <v>216</v>
      </c>
      <c r="N212" s="768" t="s">
        <v>28</v>
      </c>
      <c r="O212" s="732">
        <f>J212*L212^2/4</f>
        <v>113.04</v>
      </c>
      <c r="P212" s="732"/>
      <c r="Q212" s="704" t="s">
        <v>50</v>
      </c>
      <c r="R212" s="704"/>
      <c r="S212" s="399"/>
    </row>
    <row r="213" spans="1:20" ht="14.25" customHeight="1">
      <c r="A213" s="501"/>
      <c r="B213" s="753"/>
      <c r="C213" s="964"/>
      <c r="D213" s="766"/>
      <c r="E213" s="766"/>
      <c r="F213" s="766"/>
      <c r="G213" s="702"/>
      <c r="H213" s="34">
        <v>4</v>
      </c>
      <c r="I213" s="766"/>
      <c r="J213" s="706">
        <v>4</v>
      </c>
      <c r="K213" s="706"/>
      <c r="L213" s="706"/>
      <c r="M213" s="411"/>
      <c r="N213" s="766"/>
      <c r="O213" s="732"/>
      <c r="P213" s="732"/>
      <c r="Q213" s="704"/>
      <c r="R213" s="704"/>
      <c r="S213" s="399"/>
      <c r="T213" s="60"/>
    </row>
    <row r="214" spans="1:20" ht="14.25" customHeight="1">
      <c r="A214" s="501"/>
      <c r="B214" s="411"/>
      <c r="C214" s="963" t="s">
        <v>56</v>
      </c>
      <c r="D214" s="732" t="s">
        <v>215</v>
      </c>
      <c r="E214" s="732"/>
      <c r="F214" s="34">
        <v>1000</v>
      </c>
      <c r="G214" s="400" t="s">
        <v>37</v>
      </c>
      <c r="H214" s="63">
        <f>O212</f>
        <v>113.04</v>
      </c>
      <c r="I214" s="731" t="s">
        <v>28</v>
      </c>
      <c r="J214" s="732">
        <f>F214*H214/F215</f>
        <v>99.41952506596306</v>
      </c>
      <c r="K214" s="732" t="s">
        <v>217</v>
      </c>
      <c r="L214" s="732"/>
      <c r="M214" s="768" t="s">
        <v>28</v>
      </c>
      <c r="N214" s="771">
        <f>ROUNDDOWN(J214,-1)</f>
        <v>90</v>
      </c>
      <c r="O214" s="733"/>
      <c r="P214" s="733" t="s">
        <v>187</v>
      </c>
      <c r="Q214" s="733"/>
      <c r="R214" s="399"/>
      <c r="S214" s="399"/>
      <c r="T214" s="47"/>
    </row>
    <row r="215" spans="1:20" ht="14.25" customHeight="1">
      <c r="A215" s="501"/>
      <c r="B215" s="411"/>
      <c r="C215" s="771"/>
      <c r="D215" s="732"/>
      <c r="E215" s="732"/>
      <c r="F215" s="730">
        <f>L210</f>
        <v>1137</v>
      </c>
      <c r="G215" s="869"/>
      <c r="H215" s="869"/>
      <c r="I215" s="771"/>
      <c r="J215" s="732"/>
      <c r="K215" s="732"/>
      <c r="L215" s="732"/>
      <c r="M215" s="766"/>
      <c r="N215" s="733"/>
      <c r="O215" s="733"/>
      <c r="P215" s="733"/>
      <c r="Q215" s="733"/>
      <c r="R215" s="399"/>
      <c r="S215" s="399"/>
      <c r="T215" s="47"/>
    </row>
    <row r="216" spans="1:20" ht="12.75">
      <c r="A216" s="501"/>
      <c r="B216" s="411"/>
      <c r="C216" s="753" t="s">
        <v>550</v>
      </c>
      <c r="D216" s="753"/>
      <c r="E216" s="753"/>
      <c r="F216" s="753"/>
      <c r="G216" s="937" t="s">
        <v>28</v>
      </c>
      <c r="H216" s="754">
        <v>1000</v>
      </c>
      <c r="I216" s="771" t="s">
        <v>37</v>
      </c>
      <c r="J216" s="397">
        <f>O212</f>
        <v>113.04</v>
      </c>
      <c r="K216" s="970" t="s">
        <v>28</v>
      </c>
      <c r="L216" s="732">
        <f>ROUNDUP(H216*J216/J217,)</f>
        <v>1256</v>
      </c>
      <c r="M216" s="732"/>
      <c r="N216" s="766" t="s">
        <v>50</v>
      </c>
      <c r="O216" s="400"/>
      <c r="P216" s="400"/>
      <c r="Q216" s="400"/>
      <c r="R216" s="399"/>
      <c r="S216" s="399"/>
      <c r="T216" s="50"/>
    </row>
    <row r="217" spans="1:20" ht="12.75">
      <c r="A217" s="501"/>
      <c r="B217" s="411"/>
      <c r="C217" s="753"/>
      <c r="D217" s="753"/>
      <c r="E217" s="753"/>
      <c r="F217" s="753"/>
      <c r="G217" s="937"/>
      <c r="H217" s="754"/>
      <c r="I217" s="771"/>
      <c r="J217" s="430">
        <f>N214</f>
        <v>90</v>
      </c>
      <c r="K217" s="971"/>
      <c r="L217" s="732"/>
      <c r="M217" s="732"/>
      <c r="N217" s="766"/>
      <c r="O217" s="400"/>
      <c r="P217" s="400"/>
      <c r="Q217" s="400"/>
      <c r="R217" s="399"/>
      <c r="S217" s="399"/>
      <c r="T217" s="60"/>
    </row>
    <row r="218" spans="1:20" ht="15">
      <c r="A218" s="501"/>
      <c r="B218" s="411" t="s">
        <v>544</v>
      </c>
      <c r="C218" s="36"/>
      <c r="D218" s="397"/>
      <c r="E218" s="397"/>
      <c r="F218" s="63"/>
      <c r="G218" s="34"/>
      <c r="H218" s="34"/>
      <c r="I218" s="36"/>
      <c r="J218" s="397"/>
      <c r="K218" s="397"/>
      <c r="L218" s="397"/>
      <c r="M218" s="400"/>
      <c r="N218" s="400"/>
      <c r="O218" s="400"/>
      <c r="P218" s="400"/>
      <c r="Q218" s="400"/>
      <c r="R218" s="399"/>
      <c r="S218" s="399"/>
      <c r="T218" s="60"/>
    </row>
    <row r="219" spans="1:20" ht="12.75">
      <c r="A219" s="501"/>
      <c r="B219" s="972" t="s">
        <v>310</v>
      </c>
      <c r="C219" s="973"/>
      <c r="D219" s="973"/>
      <c r="E219" s="973"/>
      <c r="F219" s="973"/>
      <c r="G219" s="973"/>
      <c r="H219" s="973"/>
      <c r="I219" s="973"/>
      <c r="J219" s="973"/>
      <c r="K219" s="973"/>
      <c r="L219" s="973"/>
      <c r="M219" s="973"/>
      <c r="N219" s="973"/>
      <c r="O219" s="973"/>
      <c r="P219" s="973"/>
      <c r="Q219" s="973"/>
      <c r="R219" s="973"/>
      <c r="S219" s="973"/>
      <c r="T219" s="60"/>
    </row>
    <row r="220" spans="1:20" ht="15">
      <c r="A220" s="501"/>
      <c r="B220" s="950" t="s">
        <v>552</v>
      </c>
      <c r="C220" s="950"/>
      <c r="D220" s="950"/>
      <c r="E220" s="950"/>
      <c r="F220" s="921">
        <f>140</f>
        <v>140</v>
      </c>
      <c r="G220" s="38" t="s">
        <v>39</v>
      </c>
      <c r="H220" s="63">
        <f>F208</f>
        <v>250</v>
      </c>
      <c r="I220" s="332" t="s">
        <v>41</v>
      </c>
      <c r="J220" s="397">
        <v>140</v>
      </c>
      <c r="K220" s="732" t="s">
        <v>37</v>
      </c>
      <c r="L220" s="732" t="s">
        <v>311</v>
      </c>
      <c r="M220" s="411"/>
      <c r="N220" s="411"/>
      <c r="O220" s="766" t="s">
        <v>396</v>
      </c>
      <c r="P220" s="766"/>
      <c r="Q220" s="766"/>
      <c r="R220" s="766"/>
      <c r="S220" s="399"/>
      <c r="T220" s="60"/>
    </row>
    <row r="221" spans="1:20" ht="12.75">
      <c r="A221" s="411"/>
      <c r="B221" s="950"/>
      <c r="C221" s="950"/>
      <c r="D221" s="950"/>
      <c r="E221" s="950"/>
      <c r="F221" s="921"/>
      <c r="G221" s="34"/>
      <c r="H221" s="974" t="s">
        <v>140</v>
      </c>
      <c r="I221" s="974"/>
      <c r="J221" s="974"/>
      <c r="K221" s="732"/>
      <c r="L221" s="732"/>
      <c r="M221" s="411"/>
      <c r="N221" s="411"/>
      <c r="O221" s="766"/>
      <c r="P221" s="766"/>
      <c r="Q221" s="766"/>
      <c r="R221" s="766"/>
      <c r="S221" s="399"/>
      <c r="T221" s="60"/>
    </row>
    <row r="222" spans="1:20" ht="12.75">
      <c r="A222" s="411"/>
      <c r="B222" s="175"/>
      <c r="C222" s="175"/>
      <c r="D222" s="175"/>
      <c r="E222" s="175"/>
      <c r="F222" s="63"/>
      <c r="G222" s="34"/>
      <c r="H222" s="456"/>
      <c r="I222" s="456"/>
      <c r="J222" s="456"/>
      <c r="K222" s="397"/>
      <c r="L222" s="397"/>
      <c r="M222" s="411"/>
      <c r="N222" s="411"/>
      <c r="O222" s="400"/>
      <c r="P222" s="400"/>
      <c r="Q222" s="400"/>
      <c r="R222" s="400"/>
      <c r="S222" s="399"/>
      <c r="T222" s="60"/>
    </row>
    <row r="223" spans="1:22" ht="12.75">
      <c r="A223" s="411"/>
      <c r="B223" s="400"/>
      <c r="C223" s="400"/>
      <c r="D223" s="976" t="s">
        <v>313</v>
      </c>
      <c r="E223" s="768" t="s">
        <v>28</v>
      </c>
      <c r="F223" s="732">
        <f>F220</f>
        <v>140</v>
      </c>
      <c r="G223" s="768" t="s">
        <v>39</v>
      </c>
      <c r="H223" s="400">
        <f>H220</f>
        <v>250</v>
      </c>
      <c r="I223" s="401" t="s">
        <v>41</v>
      </c>
      <c r="J223" s="397">
        <f>J220</f>
        <v>140</v>
      </c>
      <c r="K223" s="766" t="s">
        <v>37</v>
      </c>
      <c r="L223" s="766" t="s">
        <v>311</v>
      </c>
      <c r="M223" s="768" t="s">
        <v>210</v>
      </c>
      <c r="N223" s="732">
        <f>F223</f>
        <v>140</v>
      </c>
      <c r="O223" s="768" t="s">
        <v>39</v>
      </c>
      <c r="P223" s="766">
        <f>(H223-J223)/H224</f>
        <v>29.490616621983914</v>
      </c>
      <c r="Q223" s="704" t="s">
        <v>312</v>
      </c>
      <c r="R223" s="704"/>
      <c r="S223" s="766" t="s">
        <v>317</v>
      </c>
      <c r="T223" s="60"/>
      <c r="V223" s="96"/>
    </row>
    <row r="224" spans="1:22" ht="15.75" customHeight="1">
      <c r="A224" s="411"/>
      <c r="B224" s="400"/>
      <c r="C224" s="400"/>
      <c r="D224" s="753"/>
      <c r="E224" s="768"/>
      <c r="F224" s="732"/>
      <c r="G224" s="768"/>
      <c r="H224" s="975">
        <f>R203</f>
        <v>3.73</v>
      </c>
      <c r="I224" s="975"/>
      <c r="J224" s="975"/>
      <c r="K224" s="766"/>
      <c r="L224" s="766"/>
      <c r="M224" s="768"/>
      <c r="N224" s="732"/>
      <c r="O224" s="768"/>
      <c r="P224" s="766"/>
      <c r="Q224" s="704"/>
      <c r="R224" s="704"/>
      <c r="S224" s="766"/>
      <c r="T224" s="60"/>
      <c r="V224" s="96"/>
    </row>
    <row r="225" spans="1:22" ht="15" customHeight="1">
      <c r="A225" s="411"/>
      <c r="B225" s="400"/>
      <c r="C225" s="766" t="s">
        <v>314</v>
      </c>
      <c r="D225" s="766"/>
      <c r="E225" s="766" t="s">
        <v>553</v>
      </c>
      <c r="F225" s="921"/>
      <c r="G225" s="473" t="s">
        <v>316</v>
      </c>
      <c r="H225" s="473"/>
      <c r="I225" s="766" t="s">
        <v>57</v>
      </c>
      <c r="J225" s="753" t="s">
        <v>140</v>
      </c>
      <c r="K225" s="768" t="s">
        <v>210</v>
      </c>
      <c r="L225" s="766" t="s">
        <v>554</v>
      </c>
      <c r="M225" s="704" t="s">
        <v>555</v>
      </c>
      <c r="N225" s="704"/>
      <c r="O225" s="399"/>
      <c r="P225" s="411"/>
      <c r="Q225" s="411"/>
      <c r="R225" s="411"/>
      <c r="S225" s="399"/>
      <c r="T225" s="60"/>
      <c r="V225" s="96"/>
    </row>
    <row r="226" spans="1:20" ht="12.75">
      <c r="A226" s="411"/>
      <c r="B226" s="400"/>
      <c r="C226" s="766"/>
      <c r="D226" s="766"/>
      <c r="E226" s="766"/>
      <c r="F226" s="921"/>
      <c r="G226" s="473" t="s">
        <v>313</v>
      </c>
      <c r="H226" s="473"/>
      <c r="I226" s="766"/>
      <c r="J226" s="753"/>
      <c r="K226" s="766"/>
      <c r="L226" s="766"/>
      <c r="M226" s="704"/>
      <c r="N226" s="704"/>
      <c r="O226" s="399"/>
      <c r="P226" s="411"/>
      <c r="Q226" s="411"/>
      <c r="R226" s="411"/>
      <c r="S226" s="399"/>
      <c r="T226" s="60"/>
    </row>
    <row r="227" spans="1:20" ht="15.75">
      <c r="A227" s="411"/>
      <c r="B227" s="400"/>
      <c r="C227" s="411"/>
      <c r="D227" s="766" t="s">
        <v>319</v>
      </c>
      <c r="E227" s="766"/>
      <c r="F227" s="400" t="s">
        <v>311</v>
      </c>
      <c r="G227" s="937" t="s">
        <v>28</v>
      </c>
      <c r="H227" s="434" t="s">
        <v>556</v>
      </c>
      <c r="I227" s="506" t="s">
        <v>320</v>
      </c>
      <c r="J227" s="507"/>
      <c r="K227" s="508"/>
      <c r="L227" s="411"/>
      <c r="M227" s="411"/>
      <c r="N227" s="411"/>
      <c r="O227" s="411"/>
      <c r="P227" s="411"/>
      <c r="Q227" s="411"/>
      <c r="R227" s="411"/>
      <c r="S227" s="494"/>
      <c r="T227" s="60"/>
    </row>
    <row r="228" spans="1:20" ht="12.75" customHeight="1">
      <c r="A228" s="411"/>
      <c r="B228" s="400"/>
      <c r="C228" s="399"/>
      <c r="D228" s="766"/>
      <c r="E228" s="766"/>
      <c r="F228" s="400" t="s">
        <v>318</v>
      </c>
      <c r="G228" s="754"/>
      <c r="H228" s="434" t="s">
        <v>554</v>
      </c>
      <c r="I228" s="411"/>
      <c r="J228" s="411"/>
      <c r="K228" s="411"/>
      <c r="L228" s="411"/>
      <c r="M228" s="411"/>
      <c r="N228" s="411"/>
      <c r="O228" s="411"/>
      <c r="P228" s="411"/>
      <c r="Q228" s="411"/>
      <c r="R228" s="411"/>
      <c r="S228" s="494"/>
      <c r="T228" s="9"/>
    </row>
    <row r="229" spans="1:20" ht="15.75">
      <c r="A229" s="411"/>
      <c r="B229" s="454" t="s">
        <v>325</v>
      </c>
      <c r="C229" s="411"/>
      <c r="D229" s="509" t="s">
        <v>321</v>
      </c>
      <c r="E229" s="510" t="s">
        <v>28</v>
      </c>
      <c r="F229" s="508" t="s">
        <v>322</v>
      </c>
      <c r="G229" s="496"/>
      <c r="H229" s="496"/>
      <c r="I229" s="496"/>
      <c r="J229" s="411"/>
      <c r="K229" s="411"/>
      <c r="L229" s="511" t="s">
        <v>315</v>
      </c>
      <c r="M229" s="512" t="s">
        <v>28</v>
      </c>
      <c r="N229" s="496" t="s">
        <v>557</v>
      </c>
      <c r="O229" s="496"/>
      <c r="P229" s="496"/>
      <c r="Q229" s="496"/>
      <c r="R229" s="496"/>
      <c r="S229" s="494"/>
      <c r="T229" s="60"/>
    </row>
    <row r="230" spans="1:20" ht="15.75">
      <c r="A230" s="411"/>
      <c r="B230" s="411"/>
      <c r="C230" s="411"/>
      <c r="D230" s="509" t="s">
        <v>313</v>
      </c>
      <c r="E230" s="512" t="s">
        <v>28</v>
      </c>
      <c r="F230" s="496" t="s">
        <v>323</v>
      </c>
      <c r="G230" s="496"/>
      <c r="H230" s="496"/>
      <c r="I230" s="496"/>
      <c r="J230" s="411"/>
      <c r="K230" s="411"/>
      <c r="L230" s="511" t="s">
        <v>59</v>
      </c>
      <c r="M230" s="512" t="s">
        <v>28</v>
      </c>
      <c r="N230" s="496" t="s">
        <v>558</v>
      </c>
      <c r="O230" s="496"/>
      <c r="P230" s="496"/>
      <c r="Q230" s="496"/>
      <c r="R230" s="496"/>
      <c r="S230" s="494"/>
      <c r="T230" s="60"/>
    </row>
    <row r="231" spans="1:20" ht="15.75">
      <c r="A231" s="411"/>
      <c r="B231" s="753" t="s">
        <v>559</v>
      </c>
      <c r="C231" s="768" t="s">
        <v>28</v>
      </c>
      <c r="D231" s="766" t="s">
        <v>560</v>
      </c>
      <c r="E231" s="411"/>
      <c r="F231" s="766" t="s">
        <v>324</v>
      </c>
      <c r="G231" s="766"/>
      <c r="H231" s="434" t="s">
        <v>561</v>
      </c>
      <c r="I231" s="894" t="s">
        <v>28</v>
      </c>
      <c r="J231" s="434">
        <v>1</v>
      </c>
      <c r="K231" s="696" t="s">
        <v>56</v>
      </c>
      <c r="L231" s="434" t="s">
        <v>311</v>
      </c>
      <c r="M231" s="926" t="s">
        <v>28</v>
      </c>
      <c r="N231" s="434">
        <v>1</v>
      </c>
      <c r="O231" s="766" t="s">
        <v>37</v>
      </c>
      <c r="P231" s="434" t="s">
        <v>313</v>
      </c>
      <c r="Q231" s="513" t="s">
        <v>320</v>
      </c>
      <c r="R231" s="411"/>
      <c r="S231" s="411"/>
      <c r="T231" s="12"/>
    </row>
    <row r="232" spans="1:20" ht="15.75">
      <c r="A232" s="411"/>
      <c r="B232" s="753"/>
      <c r="C232" s="768"/>
      <c r="D232" s="766"/>
      <c r="E232" s="411"/>
      <c r="F232" s="766"/>
      <c r="G232" s="766"/>
      <c r="H232" s="406" t="s">
        <v>553</v>
      </c>
      <c r="I232" s="894"/>
      <c r="J232" s="406">
        <v>2</v>
      </c>
      <c r="K232" s="696"/>
      <c r="L232" s="406" t="s">
        <v>308</v>
      </c>
      <c r="M232" s="753"/>
      <c r="N232" s="434">
        <v>2</v>
      </c>
      <c r="O232" s="766"/>
      <c r="P232" s="434" t="s">
        <v>59</v>
      </c>
      <c r="Q232" s="411"/>
      <c r="R232" s="411"/>
      <c r="S232" s="411"/>
      <c r="T232" s="12"/>
    </row>
    <row r="233" spans="1:20" ht="14.25">
      <c r="A233" s="411"/>
      <c r="B233" s="455" t="s">
        <v>326</v>
      </c>
      <c r="C233" s="514" t="s">
        <v>28</v>
      </c>
      <c r="D233" s="456">
        <f>(R61+F63)/2</f>
        <v>255</v>
      </c>
      <c r="E233" s="755" t="s">
        <v>329</v>
      </c>
      <c r="F233" s="755"/>
      <c r="G233" s="419" t="s">
        <v>210</v>
      </c>
      <c r="H233" s="90">
        <f>N223</f>
        <v>140</v>
      </c>
      <c r="I233" s="515" t="s">
        <v>39</v>
      </c>
      <c r="J233" s="516">
        <f>P223</f>
        <v>29.490616621983914</v>
      </c>
      <c r="K233" s="517" t="s">
        <v>328</v>
      </c>
      <c r="L233" s="517"/>
      <c r="M233" s="494"/>
      <c r="N233" s="494"/>
      <c r="O233" s="494"/>
      <c r="P233" s="494"/>
      <c r="Q233" s="494"/>
      <c r="R233" s="494"/>
      <c r="S233" s="494"/>
      <c r="T233" s="60"/>
    </row>
    <row r="234" spans="1:20" ht="15">
      <c r="A234" s="411"/>
      <c r="B234" s="496"/>
      <c r="C234" s="496"/>
      <c r="D234" s="756" t="s">
        <v>311</v>
      </c>
      <c r="E234" s="757" t="s">
        <v>28</v>
      </c>
      <c r="F234" s="749" t="s">
        <v>562</v>
      </c>
      <c r="G234" s="749" t="s">
        <v>37</v>
      </c>
      <c r="H234" s="518">
        <f>H233</f>
        <v>140</v>
      </c>
      <c r="I234" s="457" t="s">
        <v>39</v>
      </c>
      <c r="J234" s="519">
        <f>J233</f>
        <v>29.490616621983914</v>
      </c>
      <c r="K234" s="456" t="s">
        <v>37</v>
      </c>
      <c r="L234" s="417" t="s">
        <v>311</v>
      </c>
      <c r="M234" s="520" t="s">
        <v>320</v>
      </c>
      <c r="N234" s="456"/>
      <c r="O234" s="456"/>
      <c r="P234" s="456"/>
      <c r="Q234" s="494"/>
      <c r="R234" s="521"/>
      <c r="S234" s="494"/>
      <c r="T234" s="60"/>
    </row>
    <row r="235" spans="1:22" ht="15">
      <c r="A235" s="411"/>
      <c r="B235" s="496"/>
      <c r="C235" s="496"/>
      <c r="D235" s="756"/>
      <c r="E235" s="757"/>
      <c r="F235" s="749"/>
      <c r="G235" s="749"/>
      <c r="H235" s="893">
        <v>2</v>
      </c>
      <c r="I235" s="893"/>
      <c r="J235" s="430" t="s">
        <v>37</v>
      </c>
      <c r="K235" s="870">
        <f>D233</f>
        <v>255</v>
      </c>
      <c r="L235" s="870"/>
      <c r="M235" s="522"/>
      <c r="N235" s="523"/>
      <c r="O235" s="456"/>
      <c r="P235" s="456"/>
      <c r="Q235" s="494"/>
      <c r="R235" s="521"/>
      <c r="S235" s="494"/>
      <c r="T235" s="86"/>
      <c r="V235" s="96" t="s">
        <v>76</v>
      </c>
    </row>
    <row r="236" spans="1:22" ht="12.75" customHeight="1">
      <c r="A236" s="411"/>
      <c r="B236" s="455"/>
      <c r="C236" s="456"/>
      <c r="D236" s="756" t="s">
        <v>311</v>
      </c>
      <c r="E236" s="757" t="s">
        <v>28</v>
      </c>
      <c r="F236" s="924">
        <f>R203</f>
        <v>3.73</v>
      </c>
      <c r="G236" s="749" t="s">
        <v>37</v>
      </c>
      <c r="H236" s="524">
        <f>H234</f>
        <v>140</v>
      </c>
      <c r="I236" s="456" t="s">
        <v>37</v>
      </c>
      <c r="J236" s="519">
        <f>J234</f>
        <v>29.490616621983914</v>
      </c>
      <c r="K236" s="494" t="s">
        <v>37</v>
      </c>
      <c r="L236" s="525" t="s">
        <v>311</v>
      </c>
      <c r="M236" s="526" t="s">
        <v>320</v>
      </c>
      <c r="N236" s="197"/>
      <c r="O236" s="527"/>
      <c r="P236" s="527"/>
      <c r="Q236" s="494"/>
      <c r="R236" s="521"/>
      <c r="S236" s="494"/>
      <c r="T236" s="86"/>
      <c r="V236" s="96"/>
    </row>
    <row r="237" spans="1:22" ht="12.75" customHeight="1">
      <c r="A237" s="411"/>
      <c r="B237" s="527"/>
      <c r="C237" s="494"/>
      <c r="D237" s="756"/>
      <c r="E237" s="757"/>
      <c r="F237" s="925"/>
      <c r="G237" s="757"/>
      <c r="H237" s="927">
        <f>H235</f>
        <v>2</v>
      </c>
      <c r="I237" s="927"/>
      <c r="J237" s="430" t="s">
        <v>37</v>
      </c>
      <c r="K237" s="870">
        <f>K235</f>
        <v>255</v>
      </c>
      <c r="L237" s="870"/>
      <c r="M237" s="525"/>
      <c r="N237" s="197"/>
      <c r="O237" s="527"/>
      <c r="P237" s="527"/>
      <c r="Q237" s="494"/>
      <c r="R237" s="521"/>
      <c r="S237" s="494"/>
      <c r="T237" s="86"/>
      <c r="V237" s="96" t="s">
        <v>77</v>
      </c>
    </row>
    <row r="238" spans="1:20" ht="12.75" customHeight="1">
      <c r="A238" s="411"/>
      <c r="B238" s="494"/>
      <c r="C238" s="494"/>
      <c r="D238" s="455" t="s">
        <v>311</v>
      </c>
      <c r="E238" s="457" t="s">
        <v>28</v>
      </c>
      <c r="F238" s="528">
        <f>F236/(H237*K237)^(1/3)</f>
        <v>0.4668586821532697</v>
      </c>
      <c r="G238" s="494" t="s">
        <v>64</v>
      </c>
      <c r="H238" s="504">
        <f>H236</f>
        <v>140</v>
      </c>
      <c r="I238" s="457" t="s">
        <v>39</v>
      </c>
      <c r="J238" s="519">
        <f>J236</f>
        <v>29.490616621983914</v>
      </c>
      <c r="K238" s="494" t="s">
        <v>327</v>
      </c>
      <c r="L238" s="201" t="s">
        <v>563</v>
      </c>
      <c r="M238" s="201"/>
      <c r="N238" s="201"/>
      <c r="O238" s="527"/>
      <c r="P238" s="527"/>
      <c r="Q238" s="494"/>
      <c r="R238" s="521"/>
      <c r="S238" s="494" t="s">
        <v>330</v>
      </c>
      <c r="T238" s="86"/>
    </row>
    <row r="239" spans="1:32" ht="15">
      <c r="A239" s="411"/>
      <c r="B239" s="494"/>
      <c r="C239" s="494"/>
      <c r="D239" s="210" t="s">
        <v>311</v>
      </c>
      <c r="E239" s="457" t="s">
        <v>28</v>
      </c>
      <c r="F239" s="530">
        <f>'Data sheet'!G37</f>
        <v>2.83</v>
      </c>
      <c r="G239" s="411"/>
      <c r="H239" s="531" t="s">
        <v>15</v>
      </c>
      <c r="I239" s="457"/>
      <c r="J239" s="532">
        <f>F238</f>
        <v>0.4668586821532697</v>
      </c>
      <c r="K239" s="443" t="s">
        <v>64</v>
      </c>
      <c r="L239" s="430">
        <f>H238</f>
        <v>140</v>
      </c>
      <c r="M239" s="459" t="s">
        <v>39</v>
      </c>
      <c r="N239" s="533">
        <f>J238</f>
        <v>29.490616621983914</v>
      </c>
      <c r="O239" s="443" t="s">
        <v>37</v>
      </c>
      <c r="P239" s="534" t="s">
        <v>564</v>
      </c>
      <c r="Q239" s="535"/>
      <c r="R239" s="1014">
        <f>'Data sheet'!I37</f>
        <v>0.013263839528175225</v>
      </c>
      <c r="S239" s="1015"/>
      <c r="T239" s="212" t="s">
        <v>331</v>
      </c>
      <c r="U239" s="211"/>
      <c r="V239" s="189"/>
      <c r="W239" s="189"/>
      <c r="X239" s="189"/>
      <c r="Y239" s="189"/>
      <c r="Z239" s="189"/>
      <c r="AA239" s="189"/>
      <c r="AB239" s="189"/>
      <c r="AC239" s="189"/>
      <c r="AD239" s="189"/>
      <c r="AE239" s="189"/>
      <c r="AF239" s="189"/>
    </row>
    <row r="240" spans="1:23" ht="12.75">
      <c r="A240" s="411"/>
      <c r="B240" s="494" t="s">
        <v>551</v>
      </c>
      <c r="C240" s="494"/>
      <c r="D240" s="399"/>
      <c r="E240" s="399"/>
      <c r="F240" s="399"/>
      <c r="G240" s="399"/>
      <c r="H240" s="399"/>
      <c r="I240" s="399"/>
      <c r="J240" s="443" t="s">
        <v>565</v>
      </c>
      <c r="K240" s="536" t="s">
        <v>28</v>
      </c>
      <c r="L240" s="499">
        <v>12</v>
      </c>
      <c r="M240" s="499" t="s">
        <v>37</v>
      </c>
      <c r="N240" s="499">
        <f>C62</f>
        <v>12</v>
      </c>
      <c r="O240" s="459" t="s">
        <v>28</v>
      </c>
      <c r="P240" s="443">
        <f>N240*L240</f>
        <v>144</v>
      </c>
      <c r="Q240" s="443" t="s">
        <v>26</v>
      </c>
      <c r="R240" s="443"/>
      <c r="S240" s="534"/>
      <c r="T240" s="86"/>
      <c r="U240" s="280" t="s">
        <v>347</v>
      </c>
      <c r="V240" s="281"/>
      <c r="W240" s="282"/>
    </row>
    <row r="241" spans="1:20" ht="12.75">
      <c r="A241" s="411"/>
      <c r="B241" s="455" t="s">
        <v>333</v>
      </c>
      <c r="C241" s="495" t="s">
        <v>28</v>
      </c>
      <c r="D241" s="400">
        <f>H220</f>
        <v>250</v>
      </c>
      <c r="E241" s="399" t="s">
        <v>339</v>
      </c>
      <c r="F241" s="399"/>
      <c r="G241" s="399"/>
      <c r="H241" s="399"/>
      <c r="I241" s="399"/>
      <c r="J241" s="399"/>
      <c r="K241" s="399"/>
      <c r="L241" s="399"/>
      <c r="M241" s="399"/>
      <c r="N241" s="507"/>
      <c r="O241" s="507"/>
      <c r="P241" s="507"/>
      <c r="Q241" s="507"/>
      <c r="R241" s="507"/>
      <c r="S241" s="411"/>
      <c r="T241" s="86"/>
    </row>
    <row r="242" spans="1:20" ht="12.75" customHeight="1">
      <c r="A242" s="411"/>
      <c r="B242" s="494"/>
      <c r="C242" s="537" t="s">
        <v>56</v>
      </c>
      <c r="D242" s="454" t="s">
        <v>311</v>
      </c>
      <c r="E242" s="450" t="s">
        <v>28</v>
      </c>
      <c r="F242" s="434">
        <f>'Data sheet'!G37</f>
        <v>2.83</v>
      </c>
      <c r="G242" s="450" t="s">
        <v>41</v>
      </c>
      <c r="H242" s="434">
        <f>MAX(P240/1000,D241/1000)</f>
        <v>0.25</v>
      </c>
      <c r="I242" s="450" t="s">
        <v>28</v>
      </c>
      <c r="J242" s="176">
        <f>F242-H242</f>
        <v>2.58</v>
      </c>
      <c r="K242" s="411" t="s">
        <v>335</v>
      </c>
      <c r="L242" s="411"/>
      <c r="M242" s="411"/>
      <c r="N242" s="411"/>
      <c r="O242" s="411"/>
      <c r="P242" s="411"/>
      <c r="Q242" s="411"/>
      <c r="R242" s="411"/>
      <c r="S242" s="494"/>
      <c r="T242" s="86"/>
    </row>
    <row r="243" spans="1:22" ht="12.75" customHeight="1">
      <c r="A243" s="411"/>
      <c r="B243" s="521">
        <f>J242</f>
        <v>2.58</v>
      </c>
      <c r="C243" s="517" t="s">
        <v>336</v>
      </c>
      <c r="D243" s="411"/>
      <c r="E243" s="472"/>
      <c r="F243" s="434"/>
      <c r="G243" s="450"/>
      <c r="H243" s="434"/>
      <c r="I243" s="450"/>
      <c r="J243" s="405"/>
      <c r="K243" s="411"/>
      <c r="L243" s="411"/>
      <c r="M243" s="411"/>
      <c r="N243" s="411"/>
      <c r="O243" s="411"/>
      <c r="P243" s="411"/>
      <c r="Q243" s="411"/>
      <c r="R243" s="411"/>
      <c r="S243" s="494"/>
      <c r="T243" s="86"/>
      <c r="V243" s="96"/>
    </row>
    <row r="244" spans="1:32" ht="12.75" customHeight="1">
      <c r="A244" s="411"/>
      <c r="B244" s="749" t="s">
        <v>566</v>
      </c>
      <c r="C244" s="749"/>
      <c r="D244" s="749"/>
      <c r="E244" s="749"/>
      <c r="F244" s="749"/>
      <c r="G244" s="749"/>
      <c r="H244" s="749"/>
      <c r="I244" s="749"/>
      <c r="J244" s="749"/>
      <c r="K244" s="749"/>
      <c r="L244" s="456" t="s">
        <v>561</v>
      </c>
      <c r="M244" s="768" t="s">
        <v>28</v>
      </c>
      <c r="N244" s="434">
        <v>1</v>
      </c>
      <c r="O244" s="753" t="s">
        <v>337</v>
      </c>
      <c r="P244" s="753"/>
      <c r="Q244" s="753"/>
      <c r="R244" s="753"/>
      <c r="S244" s="753"/>
      <c r="T244" s="86"/>
      <c r="U244" s="94"/>
      <c r="Y244" s="85"/>
      <c r="Z244" s="120"/>
      <c r="AA244" s="85"/>
      <c r="AB244" s="86"/>
      <c r="AC244" s="201"/>
      <c r="AD244" s="201"/>
      <c r="AE244" s="201"/>
      <c r="AF244" s="198"/>
    </row>
    <row r="245" spans="1:32" ht="12.75" customHeight="1">
      <c r="A245" s="411"/>
      <c r="B245" s="749"/>
      <c r="C245" s="749"/>
      <c r="D245" s="749"/>
      <c r="E245" s="749"/>
      <c r="F245" s="749"/>
      <c r="G245" s="749"/>
      <c r="H245" s="749"/>
      <c r="I245" s="749"/>
      <c r="J245" s="749"/>
      <c r="K245" s="749"/>
      <c r="L245" s="456" t="s">
        <v>553</v>
      </c>
      <c r="M245" s="768"/>
      <c r="N245" s="406">
        <v>4</v>
      </c>
      <c r="O245" s="753"/>
      <c r="P245" s="753"/>
      <c r="Q245" s="753"/>
      <c r="R245" s="753"/>
      <c r="S245" s="753"/>
      <c r="T245" s="86"/>
      <c r="U245" s="94"/>
      <c r="Y245" s="85"/>
      <c r="Z245" s="120"/>
      <c r="AA245" s="85"/>
      <c r="AB245" s="86"/>
      <c r="AC245" s="201"/>
      <c r="AD245" s="201"/>
      <c r="AE245" s="201"/>
      <c r="AF245" s="198"/>
    </row>
    <row r="246" spans="1:32" ht="12.75" customHeight="1">
      <c r="A246" s="411"/>
      <c r="B246" s="411"/>
      <c r="C246" s="696" t="s">
        <v>56</v>
      </c>
      <c r="D246" s="434" t="s">
        <v>311</v>
      </c>
      <c r="E246" s="768" t="s">
        <v>28</v>
      </c>
      <c r="F246" s="434">
        <v>1</v>
      </c>
      <c r="G246" s="400" t="s">
        <v>37</v>
      </c>
      <c r="H246" s="434" t="s">
        <v>313</v>
      </c>
      <c r="I246" s="513" t="s">
        <v>320</v>
      </c>
      <c r="J246" s="758" t="s">
        <v>567</v>
      </c>
      <c r="K246" s="757" t="s">
        <v>28</v>
      </c>
      <c r="L246" s="737" t="s">
        <v>318</v>
      </c>
      <c r="M246" s="749" t="s">
        <v>37</v>
      </c>
      <c r="N246" s="90">
        <f>H234</f>
        <v>140</v>
      </c>
      <c r="O246" s="419" t="s">
        <v>39</v>
      </c>
      <c r="P246" s="519">
        <f>J234</f>
        <v>29.490616621983914</v>
      </c>
      <c r="Q246" s="456" t="s">
        <v>37</v>
      </c>
      <c r="R246" s="206" t="s">
        <v>311</v>
      </c>
      <c r="S246" s="520" t="s">
        <v>320</v>
      </c>
      <c r="T246" s="86"/>
      <c r="U246" s="94"/>
      <c r="Y246" s="85"/>
      <c r="Z246" s="88"/>
      <c r="AA246" s="85"/>
      <c r="AB246" s="86"/>
      <c r="AC246" s="201"/>
      <c r="AD246" s="201"/>
      <c r="AE246" s="201"/>
      <c r="AF246" s="198"/>
    </row>
    <row r="247" spans="1:32" ht="15" customHeight="1">
      <c r="A247" s="411"/>
      <c r="B247" s="411"/>
      <c r="C247" s="696"/>
      <c r="D247" s="406" t="s">
        <v>308</v>
      </c>
      <c r="E247" s="768"/>
      <c r="F247" s="434">
        <v>4</v>
      </c>
      <c r="G247" s="400"/>
      <c r="H247" s="434" t="s">
        <v>59</v>
      </c>
      <c r="I247" s="411"/>
      <c r="J247" s="756"/>
      <c r="K247" s="757"/>
      <c r="L247" s="749"/>
      <c r="M247" s="749"/>
      <c r="N247" s="869">
        <v>4</v>
      </c>
      <c r="O247" s="869"/>
      <c r="P247" s="430" t="s">
        <v>37</v>
      </c>
      <c r="Q247" s="870">
        <f>K235</f>
        <v>255</v>
      </c>
      <c r="R247" s="870"/>
      <c r="S247" s="522"/>
      <c r="T247" s="86"/>
      <c r="U247" s="94"/>
      <c r="Y247" s="85"/>
      <c r="Z247" s="88"/>
      <c r="AA247" s="85"/>
      <c r="AB247" s="86"/>
      <c r="AC247" s="201"/>
      <c r="AD247" s="201"/>
      <c r="AE247" s="201"/>
      <c r="AF247" s="198"/>
    </row>
    <row r="248" spans="1:35" ht="12.75" customHeight="1">
      <c r="A248" s="411"/>
      <c r="B248" s="411"/>
      <c r="C248" s="411"/>
      <c r="D248" s="756" t="s">
        <v>311</v>
      </c>
      <c r="E248" s="757" t="s">
        <v>28</v>
      </c>
      <c r="F248" s="716">
        <f>F236</f>
        <v>3.73</v>
      </c>
      <c r="G248" s="456" t="s">
        <v>37</v>
      </c>
      <c r="H248" s="524">
        <f>N246</f>
        <v>140</v>
      </c>
      <c r="I248" s="456" t="s">
        <v>37</v>
      </c>
      <c r="J248" s="519">
        <f>P246</f>
        <v>29.490616621983914</v>
      </c>
      <c r="K248" s="494" t="s">
        <v>37</v>
      </c>
      <c r="L248" s="74" t="s">
        <v>311</v>
      </c>
      <c r="M248" s="526" t="s">
        <v>320</v>
      </c>
      <c r="N248" s="540"/>
      <c r="O248" s="541"/>
      <c r="P248" s="541"/>
      <c r="Q248" s="542"/>
      <c r="R248" s="543"/>
      <c r="S248" s="542"/>
      <c r="T248" s="86"/>
      <c r="U248" s="94"/>
      <c r="Y248" s="85"/>
      <c r="Z248" s="120"/>
      <c r="AA248" s="205"/>
      <c r="AB248" s="86"/>
      <c r="AC248" s="201"/>
      <c r="AD248" s="201"/>
      <c r="AE248" s="201"/>
      <c r="AF248" s="198"/>
      <c r="AG248" s="198"/>
      <c r="AH248" s="86"/>
      <c r="AI248" s="87"/>
    </row>
    <row r="249" spans="1:35" ht="12.75" customHeight="1">
      <c r="A249" s="540"/>
      <c r="B249" s="540"/>
      <c r="C249" s="540"/>
      <c r="D249" s="867"/>
      <c r="E249" s="868"/>
      <c r="F249" s="755"/>
      <c r="G249" s="457"/>
      <c r="H249" s="430">
        <f>N247</f>
        <v>4</v>
      </c>
      <c r="I249" s="430"/>
      <c r="J249" s="430" t="s">
        <v>37</v>
      </c>
      <c r="K249" s="870">
        <f>Q247</f>
        <v>255</v>
      </c>
      <c r="L249" s="870"/>
      <c r="M249" s="525"/>
      <c r="N249" s="411"/>
      <c r="O249" s="456"/>
      <c r="P249" s="456"/>
      <c r="Q249" s="494"/>
      <c r="R249" s="521"/>
      <c r="S249" s="494"/>
      <c r="T249" s="86"/>
      <c r="U249" s="99"/>
      <c r="Y249" s="196"/>
      <c r="Z249" s="120"/>
      <c r="AA249" s="85"/>
      <c r="AB249" s="195"/>
      <c r="AC249" s="201"/>
      <c r="AD249" s="201"/>
      <c r="AE249" s="201"/>
      <c r="AF249" s="198"/>
      <c r="AG249" s="198"/>
      <c r="AH249" s="86"/>
      <c r="AI249" s="87"/>
    </row>
    <row r="250" spans="1:35" ht="12.75" customHeight="1">
      <c r="A250" s="411"/>
      <c r="B250" s="411"/>
      <c r="C250" s="411"/>
      <c r="D250" s="455" t="s">
        <v>311</v>
      </c>
      <c r="E250" s="457" t="s">
        <v>28</v>
      </c>
      <c r="F250" s="544">
        <f>F248/(H249*K249)^(1/3)</f>
        <v>0.3705459815852937</v>
      </c>
      <c r="G250" s="494" t="s">
        <v>64</v>
      </c>
      <c r="H250" s="504">
        <f>H248</f>
        <v>140</v>
      </c>
      <c r="I250" s="457" t="s">
        <v>39</v>
      </c>
      <c r="J250" s="519">
        <f>J248</f>
        <v>29.490616621983914</v>
      </c>
      <c r="K250" s="494" t="s">
        <v>327</v>
      </c>
      <c r="L250" s="201" t="s">
        <v>563</v>
      </c>
      <c r="M250" s="411"/>
      <c r="N250" s="197"/>
      <c r="O250" s="527"/>
      <c r="P250" s="527"/>
      <c r="Q250" s="494"/>
      <c r="R250" s="521"/>
      <c r="S250" s="494" t="s">
        <v>334</v>
      </c>
      <c r="T250" s="86"/>
      <c r="Y250" s="85"/>
      <c r="Z250" s="120"/>
      <c r="AA250" s="85"/>
      <c r="AB250" s="195"/>
      <c r="AC250" s="201"/>
      <c r="AD250" s="201"/>
      <c r="AE250" s="201"/>
      <c r="AF250" s="198"/>
      <c r="AG250" s="198"/>
      <c r="AH250" s="86"/>
      <c r="AI250" s="87"/>
    </row>
    <row r="251" spans="1:35" ht="12.75" customHeight="1">
      <c r="A251" s="411"/>
      <c r="B251" s="411"/>
      <c r="C251" s="411"/>
      <c r="D251" s="210" t="s">
        <v>311</v>
      </c>
      <c r="E251" s="457" t="s">
        <v>28</v>
      </c>
      <c r="F251" s="530">
        <f>'Data sheet'!G39</f>
        <v>2.19</v>
      </c>
      <c r="G251" s="531" t="s">
        <v>15</v>
      </c>
      <c r="H251" s="411"/>
      <c r="I251" s="411"/>
      <c r="J251" s="545">
        <f>F250</f>
        <v>0.3705459815852937</v>
      </c>
      <c r="K251" s="546" t="s">
        <v>64</v>
      </c>
      <c r="L251" s="547">
        <f>H250</f>
        <v>140</v>
      </c>
      <c r="M251" s="548" t="s">
        <v>39</v>
      </c>
      <c r="N251" s="549">
        <f>J250</f>
        <v>29.490616621983914</v>
      </c>
      <c r="O251" s="546" t="s">
        <v>37</v>
      </c>
      <c r="P251" s="550" t="s">
        <v>568</v>
      </c>
      <c r="Q251" s="551"/>
      <c r="R251" s="694">
        <f>'Data sheet'!I39</f>
        <v>0.0011573378461267048</v>
      </c>
      <c r="S251" s="695"/>
      <c r="T251" s="212" t="s">
        <v>342</v>
      </c>
      <c r="U251" s="211"/>
      <c r="V251" s="189"/>
      <c r="W251" s="189"/>
      <c r="X251" s="189"/>
      <c r="Y251" s="189"/>
      <c r="Z251" s="189"/>
      <c r="AA251" s="189"/>
      <c r="AB251" s="189"/>
      <c r="AC251" s="189"/>
      <c r="AD251" s="189"/>
      <c r="AE251" s="189"/>
      <c r="AF251" s="189"/>
      <c r="AG251" s="198"/>
      <c r="AH251" s="86"/>
      <c r="AI251" s="87"/>
    </row>
    <row r="252" spans="1:35" ht="12.75" customHeight="1">
      <c r="A252" s="411"/>
      <c r="B252" s="756" t="s">
        <v>338</v>
      </c>
      <c r="C252" s="756"/>
      <c r="D252" s="756"/>
      <c r="E252" s="756"/>
      <c r="F252" s="756"/>
      <c r="G252" s="756"/>
      <c r="H252" s="756"/>
      <c r="I252" s="756"/>
      <c r="J252" s="756"/>
      <c r="K252" s="756"/>
      <c r="L252" s="756"/>
      <c r="M252" s="756"/>
      <c r="N252" s="756"/>
      <c r="O252" s="756"/>
      <c r="P252" s="756"/>
      <c r="Q252" s="756"/>
      <c r="R252" s="756"/>
      <c r="S252" s="756"/>
      <c r="T252" s="215"/>
      <c r="U252" s="280" t="s">
        <v>347</v>
      </c>
      <c r="V252" s="283"/>
      <c r="W252" s="283"/>
      <c r="X252" s="217"/>
      <c r="Y252" s="217"/>
      <c r="Z252" s="217"/>
      <c r="AA252" s="217"/>
      <c r="AB252" s="217"/>
      <c r="AC252" s="217"/>
      <c r="AD252" s="217"/>
      <c r="AE252" s="217"/>
      <c r="AF252" s="217"/>
      <c r="AG252" s="198"/>
      <c r="AH252" s="86"/>
      <c r="AI252" s="87"/>
    </row>
    <row r="253" spans="1:35" ht="12.75" customHeight="1">
      <c r="A253" s="411"/>
      <c r="B253" s="494" t="s">
        <v>332</v>
      </c>
      <c r="C253" s="494"/>
      <c r="D253" s="399"/>
      <c r="E253" s="399"/>
      <c r="F253" s="399"/>
      <c r="G253" s="399"/>
      <c r="H253" s="399"/>
      <c r="I253" s="399"/>
      <c r="J253" s="399" t="s">
        <v>565</v>
      </c>
      <c r="K253" s="398" t="s">
        <v>28</v>
      </c>
      <c r="L253" s="400">
        <v>12</v>
      </c>
      <c r="M253" s="400" t="s">
        <v>37</v>
      </c>
      <c r="N253" s="400">
        <f>N240</f>
        <v>12</v>
      </c>
      <c r="O253" s="401" t="s">
        <v>28</v>
      </c>
      <c r="P253" s="399">
        <f>N253*L253</f>
        <v>144</v>
      </c>
      <c r="Q253" s="399" t="s">
        <v>26</v>
      </c>
      <c r="R253" s="399"/>
      <c r="S253" s="411"/>
      <c r="AG253" s="198"/>
      <c r="AH253" s="86"/>
      <c r="AI253" s="87"/>
    </row>
    <row r="254" spans="1:35" ht="12.75" customHeight="1">
      <c r="A254" s="411"/>
      <c r="B254" s="455" t="s">
        <v>333</v>
      </c>
      <c r="C254" s="495" t="s">
        <v>28</v>
      </c>
      <c r="D254" s="400">
        <f>D241</f>
        <v>250</v>
      </c>
      <c r="E254" s="399" t="s">
        <v>339</v>
      </c>
      <c r="F254" s="399"/>
      <c r="G254" s="399"/>
      <c r="H254" s="399"/>
      <c r="I254" s="399"/>
      <c r="J254" s="399"/>
      <c r="K254" s="399"/>
      <c r="L254" s="399"/>
      <c r="M254" s="399"/>
      <c r="N254" s="507"/>
      <c r="O254" s="507"/>
      <c r="P254" s="507"/>
      <c r="Q254" s="507"/>
      <c r="R254" s="507"/>
      <c r="S254" s="411"/>
      <c r="T254" s="215"/>
      <c r="U254" s="209"/>
      <c r="V254" s="120"/>
      <c r="W254" s="190"/>
      <c r="X254" s="195"/>
      <c r="Y254" s="217"/>
      <c r="Z254" s="217"/>
      <c r="AA254" s="217"/>
      <c r="AB254" s="217"/>
      <c r="AC254" s="217"/>
      <c r="AD254" s="217"/>
      <c r="AE254" s="217"/>
      <c r="AF254" s="217"/>
      <c r="AG254" s="198"/>
      <c r="AH254" s="86"/>
      <c r="AI254" s="87"/>
    </row>
    <row r="255" spans="1:35" ht="12.75" customHeight="1">
      <c r="A255" s="411"/>
      <c r="B255" s="494"/>
      <c r="C255" s="537" t="s">
        <v>56</v>
      </c>
      <c r="D255" s="454" t="s">
        <v>311</v>
      </c>
      <c r="E255" s="450" t="s">
        <v>28</v>
      </c>
      <c r="F255" s="434">
        <f>'Data sheet'!G39</f>
        <v>2.19</v>
      </c>
      <c r="G255" s="472" t="s">
        <v>41</v>
      </c>
      <c r="H255" s="411">
        <f>D254/1000</f>
        <v>0.25</v>
      </c>
      <c r="I255" s="472" t="s">
        <v>28</v>
      </c>
      <c r="J255" s="176">
        <f>F255-H255</f>
        <v>1.94</v>
      </c>
      <c r="K255" s="411" t="s">
        <v>340</v>
      </c>
      <c r="L255" s="411"/>
      <c r="M255" s="411"/>
      <c r="N255" s="411"/>
      <c r="O255" s="411"/>
      <c r="P255" s="411"/>
      <c r="Q255" s="411"/>
      <c r="R255" s="411"/>
      <c r="S255" s="494"/>
      <c r="T255" s="215"/>
      <c r="U255" s="209"/>
      <c r="V255" s="120"/>
      <c r="W255" s="190"/>
      <c r="X255" s="195"/>
      <c r="Y255" s="217"/>
      <c r="Z255" s="217"/>
      <c r="AA255" s="217"/>
      <c r="AB255" s="217"/>
      <c r="AC255" s="217"/>
      <c r="AD255" s="217"/>
      <c r="AE255" s="217"/>
      <c r="AF255" s="217"/>
      <c r="AG255" s="198"/>
      <c r="AH255" s="86"/>
      <c r="AI255" s="87"/>
    </row>
    <row r="256" spans="1:35" ht="12.75" customHeight="1">
      <c r="A256" s="411"/>
      <c r="B256" s="517"/>
      <c r="C256" s="517" t="s">
        <v>341</v>
      </c>
      <c r="D256" s="552">
        <f>J255</f>
        <v>1.94</v>
      </c>
      <c r="E256" s="553" t="s">
        <v>569</v>
      </c>
      <c r="F256" s="422"/>
      <c r="G256" s="474"/>
      <c r="H256" s="474"/>
      <c r="I256" s="554"/>
      <c r="J256" s="485"/>
      <c r="K256" s="474"/>
      <c r="L256" s="474"/>
      <c r="M256" s="474"/>
      <c r="N256" s="474"/>
      <c r="O256" s="474"/>
      <c r="P256" s="474"/>
      <c r="Q256" s="474"/>
      <c r="R256" s="474"/>
      <c r="S256" s="517"/>
      <c r="T256" s="220"/>
      <c r="U256" s="198"/>
      <c r="V256" s="120"/>
      <c r="W256" s="190"/>
      <c r="X256" s="195"/>
      <c r="Y256" s="224"/>
      <c r="Z256" s="225"/>
      <c r="AA256" s="226"/>
      <c r="AB256" s="227"/>
      <c r="AC256" s="228"/>
      <c r="AD256" s="228"/>
      <c r="AE256" s="228"/>
      <c r="AF256" s="220"/>
      <c r="AG256" s="198"/>
      <c r="AH256" s="86"/>
      <c r="AI256" s="87"/>
    </row>
    <row r="257" spans="1:35" ht="12.75" customHeight="1">
      <c r="A257" s="411"/>
      <c r="B257" s="517"/>
      <c r="C257" s="517"/>
      <c r="D257" s="517"/>
      <c r="E257" s="517"/>
      <c r="F257" s="517"/>
      <c r="G257" s="517"/>
      <c r="H257" s="517"/>
      <c r="I257" s="517"/>
      <c r="J257" s="517"/>
      <c r="K257" s="517"/>
      <c r="L257" s="517"/>
      <c r="M257" s="555"/>
      <c r="N257" s="474"/>
      <c r="O257" s="474"/>
      <c r="P257" s="474"/>
      <c r="Q257" s="474"/>
      <c r="R257" s="474"/>
      <c r="S257" s="517"/>
      <c r="T257" s="65"/>
      <c r="U257" s="199"/>
      <c r="V257" s="120"/>
      <c r="W257" s="200"/>
      <c r="X257" s="195"/>
      <c r="Y257" s="202"/>
      <c r="Z257" s="203"/>
      <c r="AA257" s="90"/>
      <c r="AB257" s="83"/>
      <c r="AC257" s="193"/>
      <c r="AD257" s="193"/>
      <c r="AE257" s="193"/>
      <c r="AF257" s="194"/>
      <c r="AG257" s="218"/>
      <c r="AH257" s="219"/>
      <c r="AI257" s="87"/>
    </row>
    <row r="258" spans="1:35" ht="12.75" customHeight="1">
      <c r="A258" s="375"/>
      <c r="B258" s="558" t="s">
        <v>348</v>
      </c>
      <c r="C258" s="517"/>
      <c r="D258" s="517"/>
      <c r="E258" s="517"/>
      <c r="F258" s="517"/>
      <c r="G258" s="517"/>
      <c r="H258" s="517"/>
      <c r="I258" s="517"/>
      <c r="J258" s="517"/>
      <c r="K258" s="517"/>
      <c r="L258" s="517"/>
      <c r="M258" s="555"/>
      <c r="N258" s="474"/>
      <c r="O258" s="474"/>
      <c r="P258" s="474"/>
      <c r="Q258" s="474"/>
      <c r="R258" s="474"/>
      <c r="S258" s="517"/>
      <c r="T258" s="65"/>
      <c r="U258" s="199"/>
      <c r="V258" s="120"/>
      <c r="W258" s="208"/>
      <c r="X258" s="195"/>
      <c r="AG258" s="218"/>
      <c r="AH258" s="219"/>
      <c r="AI258" s="87"/>
    </row>
    <row r="259" spans="1:35" ht="12.75" customHeight="1">
      <c r="A259" s="375"/>
      <c r="B259" s="537"/>
      <c r="C259" s="91" t="s">
        <v>349</v>
      </c>
      <c r="D259" s="91"/>
      <c r="E259" s="91"/>
      <c r="F259" s="729" t="s">
        <v>350</v>
      </c>
      <c r="G259" s="692" t="s">
        <v>570</v>
      </c>
      <c r="H259" s="692"/>
      <c r="I259" s="689" t="s">
        <v>28</v>
      </c>
      <c r="J259" s="689">
        <f>H70</f>
        <v>0.37947169491452154</v>
      </c>
      <c r="K259" s="724" t="s">
        <v>37</v>
      </c>
      <c r="L259" s="458">
        <f>J204</f>
        <v>18</v>
      </c>
      <c r="M259" s="724" t="s">
        <v>37</v>
      </c>
      <c r="N259" s="689">
        <f>F236</f>
        <v>3.73</v>
      </c>
      <c r="O259" s="693" t="s">
        <v>571</v>
      </c>
      <c r="P259" s="725">
        <f>J259*L259/L260*N259^2</f>
        <v>47.515965697586225</v>
      </c>
      <c r="Q259" s="725"/>
      <c r="R259" s="691" t="s">
        <v>142</v>
      </c>
      <c r="S259" s="65"/>
      <c r="T259" s="65"/>
      <c r="U259" s="199"/>
      <c r="V259" s="120"/>
      <c r="W259" s="200"/>
      <c r="X259" s="86"/>
      <c r="AG259" s="218"/>
      <c r="AH259" s="219"/>
      <c r="AI259" s="87"/>
    </row>
    <row r="260" spans="1:35" ht="12.75" customHeight="1">
      <c r="A260" s="375"/>
      <c r="B260" s="517"/>
      <c r="C260" s="517"/>
      <c r="D260" s="91"/>
      <c r="E260" s="559"/>
      <c r="F260" s="729"/>
      <c r="G260" s="730">
        <v>2</v>
      </c>
      <c r="H260" s="730"/>
      <c r="I260" s="689"/>
      <c r="J260" s="689"/>
      <c r="K260" s="724"/>
      <c r="L260" s="499">
        <v>2</v>
      </c>
      <c r="M260" s="724"/>
      <c r="N260" s="689"/>
      <c r="O260" s="691"/>
      <c r="P260" s="725"/>
      <c r="Q260" s="725"/>
      <c r="R260" s="691"/>
      <c r="S260" s="65"/>
      <c r="T260" s="65"/>
      <c r="U260" s="199"/>
      <c r="V260" s="120"/>
      <c r="W260" s="200"/>
      <c r="X260" s="86"/>
      <c r="AG260" s="220"/>
      <c r="AH260" s="220"/>
      <c r="AI260" s="194"/>
    </row>
    <row r="261" spans="1:35" ht="12.75">
      <c r="A261" s="375"/>
      <c r="B261" s="411"/>
      <c r="C261" s="707" t="s">
        <v>56</v>
      </c>
      <c r="D261" s="713" t="s">
        <v>572</v>
      </c>
      <c r="E261" s="712" t="s">
        <v>28</v>
      </c>
      <c r="F261" s="560">
        <f>P259</f>
        <v>47.515965697586225</v>
      </c>
      <c r="G261" s="185" t="s">
        <v>37</v>
      </c>
      <c r="H261" s="64">
        <v>1000</v>
      </c>
      <c r="I261" s="711" t="s">
        <v>28</v>
      </c>
      <c r="J261" s="716">
        <f>F261*H261/(F262*H262)</f>
        <v>0.1900638627903449</v>
      </c>
      <c r="K261" s="716"/>
      <c r="L261" s="699" t="s">
        <v>573</v>
      </c>
      <c r="M261" s="699"/>
      <c r="N261" s="724" t="s">
        <v>154</v>
      </c>
      <c r="O261" s="689"/>
      <c r="P261" s="714" t="s">
        <v>574</v>
      </c>
      <c r="Q261" s="690" t="s">
        <v>352</v>
      </c>
      <c r="R261" s="690"/>
      <c r="S261" s="690"/>
      <c r="T261" s="65"/>
      <c r="U261" s="199"/>
      <c r="V261" s="120"/>
      <c r="W261" s="200"/>
      <c r="X261" s="86"/>
      <c r="AG261" s="194"/>
      <c r="AH261" s="194"/>
      <c r="AI261" s="194"/>
    </row>
    <row r="262" spans="1:24" ht="12.75">
      <c r="A262" s="375"/>
      <c r="B262" s="529"/>
      <c r="C262" s="707"/>
      <c r="D262" s="713"/>
      <c r="E262" s="712"/>
      <c r="F262" s="456">
        <v>1000</v>
      </c>
      <c r="G262" s="456" t="s">
        <v>37</v>
      </c>
      <c r="H262" s="456">
        <v>250</v>
      </c>
      <c r="I262" s="729"/>
      <c r="J262" s="716"/>
      <c r="K262" s="716"/>
      <c r="L262" s="699"/>
      <c r="M262" s="699"/>
      <c r="N262" s="689"/>
      <c r="O262" s="689"/>
      <c r="P262" s="714"/>
      <c r="Q262" s="690"/>
      <c r="R262" s="690"/>
      <c r="S262" s="690"/>
      <c r="T262" s="65"/>
      <c r="U262" s="199"/>
      <c r="V262" s="120"/>
      <c r="W262" s="200"/>
      <c r="X262" s="86"/>
    </row>
    <row r="263" spans="1:24" ht="12.75">
      <c r="A263" s="375"/>
      <c r="B263" s="871" t="s">
        <v>295</v>
      </c>
      <c r="C263" s="871"/>
      <c r="D263" s="871"/>
      <c r="E263" s="871"/>
      <c r="F263" s="449" t="s">
        <v>296</v>
      </c>
      <c r="G263" s="450" t="s">
        <v>28</v>
      </c>
      <c r="H263" s="471">
        <f>L210</f>
        <v>1137</v>
      </c>
      <c r="I263" s="434" t="s">
        <v>42</v>
      </c>
      <c r="J263" s="449">
        <f>O212</f>
        <v>113.04</v>
      </c>
      <c r="K263" s="472" t="s">
        <v>28</v>
      </c>
      <c r="L263" s="405">
        <f>H263/J263</f>
        <v>10.058386411889597</v>
      </c>
      <c r="M263" s="405"/>
      <c r="N263" s="411" t="s">
        <v>297</v>
      </c>
      <c r="O263" s="472" t="s">
        <v>28</v>
      </c>
      <c r="P263" s="449">
        <f>ROUNDUP(L263,0)</f>
        <v>11</v>
      </c>
      <c r="Q263" s="411" t="s">
        <v>298</v>
      </c>
      <c r="R263" s="411"/>
      <c r="S263" s="418"/>
      <c r="T263" s="65"/>
      <c r="U263" s="199"/>
      <c r="V263" s="120"/>
      <c r="W263" s="200"/>
      <c r="X263" s="86"/>
    </row>
    <row r="264" spans="1:24" ht="15">
      <c r="A264" s="375"/>
      <c r="B264" s="965" t="s">
        <v>55</v>
      </c>
      <c r="C264" s="965"/>
      <c r="D264" s="414">
        <f>P263</f>
        <v>11</v>
      </c>
      <c r="E264" s="473" t="s">
        <v>299</v>
      </c>
      <c r="F264" s="473"/>
      <c r="G264" s="958">
        <f>C212</f>
        <v>12</v>
      </c>
      <c r="H264" s="958"/>
      <c r="I264" s="474" t="s">
        <v>538</v>
      </c>
      <c r="J264" s="4"/>
      <c r="K264" s="411"/>
      <c r="L264" s="411"/>
      <c r="M264" s="475"/>
      <c r="N264" s="411"/>
      <c r="O264" s="472"/>
      <c r="P264" s="449"/>
      <c r="Q264" s="411"/>
      <c r="R264" s="471"/>
      <c r="S264" s="418"/>
      <c r="T264" s="65"/>
      <c r="U264" s="199"/>
      <c r="V264" s="120"/>
      <c r="W264" s="200"/>
      <c r="X264" s="86"/>
    </row>
    <row r="265" spans="1:24" ht="12.75">
      <c r="A265" s="375"/>
      <c r="B265" s="878" t="s">
        <v>300</v>
      </c>
      <c r="C265" s="878"/>
      <c r="D265" s="878"/>
      <c r="E265" s="878"/>
      <c r="F265" s="476">
        <f>P263</f>
        <v>11</v>
      </c>
      <c r="G265" s="477" t="s">
        <v>37</v>
      </c>
      <c r="H265" s="476">
        <f>J263</f>
        <v>113.04</v>
      </c>
      <c r="I265" s="754" t="s">
        <v>37</v>
      </c>
      <c r="J265" s="754">
        <f>100</f>
        <v>100</v>
      </c>
      <c r="K265" s="768" t="s">
        <v>28</v>
      </c>
      <c r="L265" s="767">
        <f>ROUNDUP(F265*H265/F266/H266*J265,2)</f>
        <v>0.5</v>
      </c>
      <c r="M265" s="766" t="s">
        <v>60</v>
      </c>
      <c r="N265" s="706"/>
      <c r="O265" s="411"/>
      <c r="P265" s="411"/>
      <c r="Q265" s="411"/>
      <c r="R265" s="411"/>
      <c r="S265" s="418"/>
      <c r="T265" s="65"/>
      <c r="U265" s="199"/>
      <c r="V265" s="120"/>
      <c r="W265" s="200"/>
      <c r="X265" s="86"/>
    </row>
    <row r="266" spans="1:24" ht="12.75">
      <c r="A266" s="375"/>
      <c r="B266" s="878"/>
      <c r="C266" s="878"/>
      <c r="D266" s="878"/>
      <c r="E266" s="878"/>
      <c r="F266" s="478">
        <f>1000</f>
        <v>1000</v>
      </c>
      <c r="G266" s="478" t="s">
        <v>37</v>
      </c>
      <c r="H266" s="479">
        <f>F208</f>
        <v>250</v>
      </c>
      <c r="I266" s="754"/>
      <c r="J266" s="754"/>
      <c r="K266" s="768"/>
      <c r="L266" s="767"/>
      <c r="M266" s="766"/>
      <c r="N266" s="706"/>
      <c r="O266" s="411"/>
      <c r="P266" s="411"/>
      <c r="Q266" s="411"/>
      <c r="R266" s="411"/>
      <c r="S266" s="418"/>
      <c r="T266" s="65"/>
      <c r="U266" s="199"/>
      <c r="V266" s="120"/>
      <c r="W266" s="200"/>
      <c r="X266" s="86"/>
    </row>
    <row r="267" spans="1:24" ht="15.75">
      <c r="A267" s="375"/>
      <c r="B267" s="873" t="s">
        <v>302</v>
      </c>
      <c r="C267" s="873"/>
      <c r="D267" s="873"/>
      <c r="E267" s="873"/>
      <c r="F267" s="485">
        <f>L265</f>
        <v>0.5</v>
      </c>
      <c r="G267" s="486" t="s">
        <v>60</v>
      </c>
      <c r="H267" s="874" t="s">
        <v>540</v>
      </c>
      <c r="I267" s="874"/>
      <c r="J267" s="874"/>
      <c r="K267" s="398" t="s">
        <v>28</v>
      </c>
      <c r="L267" s="488">
        <f>VLOOKUP(F267,'IS-Table'!A54:B354,2)</f>
        <v>0.3</v>
      </c>
      <c r="M267" s="875" t="s">
        <v>32</v>
      </c>
      <c r="N267" s="875"/>
      <c r="O267" s="489" t="s">
        <v>303</v>
      </c>
      <c r="P267" s="489"/>
      <c r="Q267" s="489"/>
      <c r="R267" s="489"/>
      <c r="S267" s="418"/>
      <c r="T267" s="65"/>
      <c r="U267" s="199"/>
      <c r="V267" s="120"/>
      <c r="W267" s="200"/>
      <c r="X267" s="86"/>
    </row>
    <row r="268" spans="1:24" ht="12.75">
      <c r="A268" s="375"/>
      <c r="B268" s="687" t="s">
        <v>536</v>
      </c>
      <c r="C268" s="687"/>
      <c r="D268" s="687"/>
      <c r="E268" s="687"/>
      <c r="F268" s="485" t="s">
        <v>537</v>
      </c>
      <c r="G268" s="486"/>
      <c r="H268" s="485">
        <f>L267</f>
        <v>0.3</v>
      </c>
      <c r="I268" s="487" t="str">
        <f>IF(H268&gt;J268,"&gt;","&lt;")</f>
        <v>&gt;</v>
      </c>
      <c r="J268" s="485">
        <f>J261</f>
        <v>0.1900638627903449</v>
      </c>
      <c r="K268" s="490"/>
      <c r="L268" s="688" t="str">
        <f>IF(H268&gt;J268,"Hence Safe","Hence not safe")</f>
        <v>Hence Safe</v>
      </c>
      <c r="M268" s="688"/>
      <c r="N268" s="688"/>
      <c r="O268" s="688"/>
      <c r="P268" s="688"/>
      <c r="Q268" s="688"/>
      <c r="R268" s="688"/>
      <c r="S268" s="418"/>
      <c r="T268" s="65"/>
      <c r="U268" s="199"/>
      <c r="V268" s="120"/>
      <c r="W268" s="200"/>
      <c r="X268" s="86"/>
    </row>
    <row r="269" spans="1:20" ht="12.75" customHeight="1">
      <c r="A269" s="375"/>
      <c r="B269" s="561" t="s">
        <v>353</v>
      </c>
      <c r="C269" s="529"/>
      <c r="D269" s="65"/>
      <c r="E269" s="494"/>
      <c r="F269" s="562"/>
      <c r="G269" s="563"/>
      <c r="H269" s="563"/>
      <c r="I269" s="505"/>
      <c r="J269" s="90"/>
      <c r="K269" s="92"/>
      <c r="L269" s="90"/>
      <c r="M269" s="92"/>
      <c r="N269" s="202"/>
      <c r="O269" s="203"/>
      <c r="P269" s="90"/>
      <c r="Q269" s="419"/>
      <c r="R269" s="564"/>
      <c r="S269" s="67"/>
      <c r="T269" s="65"/>
    </row>
    <row r="270" spans="1:20" ht="12.75" customHeight="1">
      <c r="A270" s="375"/>
      <c r="B270" s="529"/>
      <c r="C270" s="529"/>
      <c r="D270" s="710" t="s">
        <v>354</v>
      </c>
      <c r="E270" s="710"/>
      <c r="F270" s="710"/>
      <c r="G270" s="710"/>
      <c r="H270" s="710"/>
      <c r="I270" s="505" t="s">
        <v>28</v>
      </c>
      <c r="J270" s="90">
        <f>R208</f>
        <v>310</v>
      </c>
      <c r="K270" s="420" t="s">
        <v>39</v>
      </c>
      <c r="L270" s="90">
        <f>F209</f>
        <v>200</v>
      </c>
      <c r="M270" s="711" t="s">
        <v>28</v>
      </c>
      <c r="N270" s="729">
        <f>(J270+L270)/J271</f>
        <v>255</v>
      </c>
      <c r="O270" s="729"/>
      <c r="P270" s="729" t="s">
        <v>26</v>
      </c>
      <c r="Q270" s="565"/>
      <c r="R270" s="458"/>
      <c r="S270" s="51"/>
      <c r="T270" s="65"/>
    </row>
    <row r="271" spans="1:24" ht="12.75" customHeight="1">
      <c r="A271" s="375"/>
      <c r="B271" s="566"/>
      <c r="C271" s="529"/>
      <c r="D271" s="504"/>
      <c r="E271" s="567"/>
      <c r="F271" s="567"/>
      <c r="G271" s="567"/>
      <c r="H271" s="563"/>
      <c r="I271" s="505"/>
      <c r="J271" s="730">
        <v>2</v>
      </c>
      <c r="K271" s="730"/>
      <c r="L271" s="730"/>
      <c r="M271" s="729"/>
      <c r="N271" s="729"/>
      <c r="O271" s="729"/>
      <c r="P271" s="729"/>
      <c r="Q271" s="419"/>
      <c r="R271" s="458"/>
      <c r="S271" s="51"/>
      <c r="T271" s="65"/>
      <c r="U271" s="216"/>
      <c r="V271" s="217"/>
      <c r="W271" s="217"/>
      <c r="X271" s="217"/>
    </row>
    <row r="272" spans="1:24" ht="12.75" customHeight="1">
      <c r="A272" s="375"/>
      <c r="B272" s="529"/>
      <c r="C272" s="707" t="s">
        <v>56</v>
      </c>
      <c r="D272" s="749" t="s">
        <v>355</v>
      </c>
      <c r="E272" s="749"/>
      <c r="F272" s="749"/>
      <c r="G272" s="749"/>
      <c r="H272" s="749"/>
      <c r="I272" s="720" t="s">
        <v>28</v>
      </c>
      <c r="J272" s="502">
        <v>0.12</v>
      </c>
      <c r="K272" s="708" t="s">
        <v>37</v>
      </c>
      <c r="L272" s="729">
        <v>1000</v>
      </c>
      <c r="M272" s="729" t="s">
        <v>37</v>
      </c>
      <c r="N272" s="729">
        <f>N270</f>
        <v>255</v>
      </c>
      <c r="O272" s="709" t="s">
        <v>28</v>
      </c>
      <c r="P272" s="729">
        <f>J272*L272*N272/J273</f>
        <v>306</v>
      </c>
      <c r="Q272" s="729"/>
      <c r="R272" s="699" t="s">
        <v>575</v>
      </c>
      <c r="S272" s="51"/>
      <c r="T272" s="78"/>
      <c r="U272" s="216"/>
      <c r="V272" s="217"/>
      <c r="W272" s="217"/>
      <c r="X272" s="217"/>
    </row>
    <row r="273" spans="1:24" ht="12.75" customHeight="1">
      <c r="A273" s="375"/>
      <c r="B273" s="529"/>
      <c r="C273" s="755"/>
      <c r="D273" s="749"/>
      <c r="E273" s="749"/>
      <c r="F273" s="749"/>
      <c r="G273" s="749"/>
      <c r="H273" s="749"/>
      <c r="I273" s="720"/>
      <c r="J273" s="448">
        <v>100</v>
      </c>
      <c r="K273" s="708"/>
      <c r="L273" s="729"/>
      <c r="M273" s="729"/>
      <c r="N273" s="729"/>
      <c r="O273" s="709"/>
      <c r="P273" s="729"/>
      <c r="Q273" s="729"/>
      <c r="R273" s="700"/>
      <c r="S273" s="51"/>
      <c r="T273" s="67"/>
      <c r="U273" s="221"/>
      <c r="V273" s="222"/>
      <c r="W273" s="213"/>
      <c r="X273" s="223"/>
    </row>
    <row r="274" spans="1:24" ht="14.25" customHeight="1">
      <c r="A274" s="375"/>
      <c r="B274" s="753" t="s">
        <v>63</v>
      </c>
      <c r="C274" s="701">
        <f>C188</f>
        <v>8</v>
      </c>
      <c r="D274" s="766" t="s">
        <v>535</v>
      </c>
      <c r="E274" s="766"/>
      <c r="F274" s="766"/>
      <c r="G274" s="702" t="s">
        <v>28</v>
      </c>
      <c r="H274" s="182" t="s">
        <v>214</v>
      </c>
      <c r="I274" s="703" t="s">
        <v>28</v>
      </c>
      <c r="J274" s="445">
        <v>3.14</v>
      </c>
      <c r="K274" s="445" t="s">
        <v>64</v>
      </c>
      <c r="L274" s="446">
        <f>C274</f>
        <v>8</v>
      </c>
      <c r="M274" s="184" t="s">
        <v>216</v>
      </c>
      <c r="N274" s="768" t="s">
        <v>28</v>
      </c>
      <c r="O274" s="767">
        <f>J274*L274^2/4</f>
        <v>50.24</v>
      </c>
      <c r="P274" s="767"/>
      <c r="Q274" s="704" t="s">
        <v>50</v>
      </c>
      <c r="R274" s="704"/>
      <c r="S274" s="51"/>
      <c r="T274" s="51"/>
      <c r="U274" s="91"/>
      <c r="V274" s="197"/>
      <c r="W274" s="90"/>
      <c r="X274" s="92"/>
    </row>
    <row r="275" spans="1:21" ht="15.75" customHeight="1">
      <c r="A275" s="375"/>
      <c r="B275" s="753"/>
      <c r="C275" s="701"/>
      <c r="D275" s="766"/>
      <c r="E275" s="766"/>
      <c r="F275" s="766"/>
      <c r="G275" s="702"/>
      <c r="H275" s="34">
        <v>4</v>
      </c>
      <c r="I275" s="704"/>
      <c r="J275" s="706">
        <v>4</v>
      </c>
      <c r="K275" s="706"/>
      <c r="L275" s="706"/>
      <c r="M275" s="411"/>
      <c r="N275" s="766"/>
      <c r="O275" s="767"/>
      <c r="P275" s="767"/>
      <c r="Q275" s="704"/>
      <c r="R275" s="704"/>
      <c r="S275" s="51"/>
      <c r="T275" s="51"/>
      <c r="U275" s="94"/>
    </row>
    <row r="276" spans="1:21" ht="14.25" customHeight="1">
      <c r="A276" s="375"/>
      <c r="B276" s="752" t="s">
        <v>576</v>
      </c>
      <c r="C276" s="698" t="s">
        <v>28</v>
      </c>
      <c r="D276" s="34">
        <v>1000</v>
      </c>
      <c r="E276" s="400" t="s">
        <v>37</v>
      </c>
      <c r="F276" s="63">
        <f>O274</f>
        <v>50.24</v>
      </c>
      <c r="G276" s="731" t="s">
        <v>28</v>
      </c>
      <c r="H276" s="732">
        <f>D276*F276/D277</f>
        <v>164.18300653594773</v>
      </c>
      <c r="I276" s="732" t="s">
        <v>217</v>
      </c>
      <c r="J276" s="732"/>
      <c r="K276" s="768" t="s">
        <v>28</v>
      </c>
      <c r="L276" s="771">
        <f>ROUNDDOWN(H276,-1)</f>
        <v>160</v>
      </c>
      <c r="M276" s="733" t="s">
        <v>356</v>
      </c>
      <c r="N276" s="733"/>
      <c r="O276" s="734" t="s">
        <v>357</v>
      </c>
      <c r="P276" s="734"/>
      <c r="Q276" s="734"/>
      <c r="R276" s="734"/>
      <c r="S276" s="734"/>
      <c r="T276" s="51"/>
      <c r="U276" s="94"/>
    </row>
    <row r="277" spans="1:21" ht="14.25">
      <c r="A277" s="375"/>
      <c r="B277" s="753"/>
      <c r="C277" s="771"/>
      <c r="D277" s="730">
        <f>P272</f>
        <v>306</v>
      </c>
      <c r="E277" s="730"/>
      <c r="F277" s="730"/>
      <c r="G277" s="731"/>
      <c r="H277" s="732"/>
      <c r="I277" s="732"/>
      <c r="J277" s="732"/>
      <c r="K277" s="768"/>
      <c r="L277" s="771"/>
      <c r="M277" s="733"/>
      <c r="N277" s="733"/>
      <c r="O277" s="734"/>
      <c r="P277" s="734"/>
      <c r="Q277" s="734"/>
      <c r="R277" s="734"/>
      <c r="S277" s="734"/>
      <c r="T277" s="51"/>
      <c r="U277" s="94"/>
    </row>
    <row r="278" spans="1:21" ht="14.25" customHeight="1">
      <c r="A278" s="375"/>
      <c r="B278" s="750" t="s">
        <v>577</v>
      </c>
      <c r="C278" s="751"/>
      <c r="D278" s="751"/>
      <c r="E278" s="751"/>
      <c r="F278" s="751"/>
      <c r="G278" s="457" t="s">
        <v>28</v>
      </c>
      <c r="H278" s="568">
        <f>C274</f>
        <v>8</v>
      </c>
      <c r="I278" s="749" t="s">
        <v>52</v>
      </c>
      <c r="J278" s="749"/>
      <c r="K278" s="569" t="s">
        <v>28</v>
      </c>
      <c r="L278" s="417">
        <f>IF(L276*2&lt;300,2*L276,300)</f>
        <v>300</v>
      </c>
      <c r="M278" s="570" t="s">
        <v>578</v>
      </c>
      <c r="N278" s="411"/>
      <c r="O278" s="411"/>
      <c r="P278" s="570"/>
      <c r="Q278" s="456"/>
      <c r="R278" s="458"/>
      <c r="S278" s="51"/>
      <c r="T278" s="51"/>
      <c r="U278" s="94"/>
    </row>
    <row r="279" spans="1:21" ht="14.25" customHeight="1">
      <c r="A279" s="375"/>
      <c r="B279" s="561"/>
      <c r="C279" s="571"/>
      <c r="D279" s="571"/>
      <c r="E279" s="571"/>
      <c r="F279" s="571"/>
      <c r="G279" s="457"/>
      <c r="H279" s="568"/>
      <c r="I279" s="456"/>
      <c r="J279" s="456"/>
      <c r="K279" s="569"/>
      <c r="L279" s="417"/>
      <c r="M279" s="570"/>
      <c r="N279" s="411"/>
      <c r="O279" s="411"/>
      <c r="P279" s="570"/>
      <c r="Q279" s="456"/>
      <c r="R279" s="458"/>
      <c r="S279" s="51"/>
      <c r="T279" s="51"/>
      <c r="U279" s="94"/>
    </row>
    <row r="280" spans="1:21" ht="14.25">
      <c r="A280" s="375"/>
      <c r="B280" s="390"/>
      <c r="C280" s="382"/>
      <c r="D280" s="382"/>
      <c r="E280" s="382"/>
      <c r="F280" s="382"/>
      <c r="G280" s="383"/>
      <c r="H280" s="383"/>
      <c r="I280" s="385"/>
      <c r="J280" s="392"/>
      <c r="K280" s="383"/>
      <c r="L280" s="393"/>
      <c r="M280" s="393"/>
      <c r="N280" s="393"/>
      <c r="O280" s="383"/>
      <c r="P280" s="383"/>
      <c r="Q280" s="383"/>
      <c r="R280" s="389"/>
      <c r="S280" s="391"/>
      <c r="T280" s="51"/>
      <c r="U280" s="94"/>
    </row>
    <row r="281" spans="1:21" ht="14.25">
      <c r="A281" s="501">
        <v>8</v>
      </c>
      <c r="B281" s="577" t="s">
        <v>358</v>
      </c>
      <c r="C281" s="527"/>
      <c r="D281" s="494"/>
      <c r="E281" s="494"/>
      <c r="F281" s="494"/>
      <c r="G281" s="456"/>
      <c r="H281" s="456"/>
      <c r="I281" s="457"/>
      <c r="J281" s="494"/>
      <c r="K281" s="456"/>
      <c r="L281" s="456"/>
      <c r="M281" s="456"/>
      <c r="N281" s="504"/>
      <c r="O281" s="456"/>
      <c r="P281" s="456"/>
      <c r="Q281" s="456"/>
      <c r="R281" s="458"/>
      <c r="S281" s="51"/>
      <c r="T281" s="51"/>
      <c r="U281" s="94"/>
    </row>
    <row r="282" spans="1:21" ht="14.25">
      <c r="A282" s="411"/>
      <c r="B282" s="577"/>
      <c r="C282" s="527"/>
      <c r="D282" s="494"/>
      <c r="E282" s="494"/>
      <c r="F282" s="494"/>
      <c r="G282" s="456"/>
      <c r="H282" s="456"/>
      <c r="I282" s="457"/>
      <c r="J282" s="494"/>
      <c r="K282" s="456"/>
      <c r="L282" s="456"/>
      <c r="M282" s="456"/>
      <c r="N282" s="504"/>
      <c r="O282" s="456"/>
      <c r="P282" s="456"/>
      <c r="Q282" s="456"/>
      <c r="R282" s="458"/>
      <c r="S282" s="51"/>
      <c r="T282" s="51"/>
      <c r="U282" s="94"/>
    </row>
    <row r="283" spans="1:21" ht="14.25">
      <c r="A283" s="411"/>
      <c r="B283" s="756" t="s">
        <v>393</v>
      </c>
      <c r="C283" s="756"/>
      <c r="D283" s="756"/>
      <c r="E283" s="756"/>
      <c r="F283" s="756"/>
      <c r="G283" s="756"/>
      <c r="H283" s="756"/>
      <c r="I283" s="756"/>
      <c r="J283" s="756"/>
      <c r="K283" s="756"/>
      <c r="L283" s="756"/>
      <c r="M283" s="756"/>
      <c r="N283" s="756"/>
      <c r="O283" s="756"/>
      <c r="P283" s="756"/>
      <c r="Q283" s="756"/>
      <c r="R283" s="756"/>
      <c r="S283" s="756"/>
      <c r="T283" s="51"/>
      <c r="U283" s="94"/>
    </row>
    <row r="284" spans="1:21" ht="14.25" customHeight="1">
      <c r="A284" s="411"/>
      <c r="B284" s="871" t="s">
        <v>581</v>
      </c>
      <c r="C284" s="871"/>
      <c r="D284" s="871"/>
      <c r="E284" s="871"/>
      <c r="F284" s="684">
        <f>'Data sheet'!F19</f>
        <v>300</v>
      </c>
      <c r="G284" s="685" t="s">
        <v>37</v>
      </c>
      <c r="H284" s="686">
        <f>R208</f>
        <v>310</v>
      </c>
      <c r="I284" s="517" t="s">
        <v>582</v>
      </c>
      <c r="J284" s="411"/>
      <c r="K284" s="517"/>
      <c r="L284" s="517"/>
      <c r="M284" s="517"/>
      <c r="N284" s="517"/>
      <c r="O284" s="517"/>
      <c r="P284" s="517"/>
      <c r="Q284" s="517"/>
      <c r="R284" s="517"/>
      <c r="S284" s="517"/>
      <c r="T284" s="384"/>
      <c r="U284" s="384"/>
    </row>
    <row r="285" spans="1:21" ht="14.25" customHeight="1">
      <c r="A285" s="411"/>
      <c r="B285" s="194"/>
      <c r="C285" s="517" t="s">
        <v>583</v>
      </c>
      <c r="D285" s="194"/>
      <c r="E285" s="194"/>
      <c r="F285" s="194"/>
      <c r="G285" s="194"/>
      <c r="H285" s="194"/>
      <c r="I285" s="194"/>
      <c r="J285" s="194"/>
      <c r="K285" s="194"/>
      <c r="L285" s="194"/>
      <c r="M285" s="194"/>
      <c r="N285" s="194"/>
      <c r="O285" s="194"/>
      <c r="P285" s="194"/>
      <c r="Q285" s="194"/>
      <c r="R285" s="194"/>
      <c r="S285" s="194"/>
      <c r="T285" s="51"/>
      <c r="U285" s="94"/>
    </row>
    <row r="286" spans="1:21" ht="14.25" customHeight="1">
      <c r="A286" s="411"/>
      <c r="B286" s="411"/>
      <c r="C286" s="411"/>
      <c r="D286" s="434" t="s">
        <v>591</v>
      </c>
      <c r="E286" s="450" t="s">
        <v>28</v>
      </c>
      <c r="F286" s="578" t="s">
        <v>592</v>
      </c>
      <c r="G286" s="495" t="s">
        <v>28</v>
      </c>
      <c r="H286" s="411" t="s">
        <v>580</v>
      </c>
      <c r="I286" s="411" t="s">
        <v>579</v>
      </c>
      <c r="J286" s="441">
        <f>H70</f>
        <v>0.37947169491452154</v>
      </c>
      <c r="K286" s="472" t="s">
        <v>28</v>
      </c>
      <c r="L286" s="539">
        <f>1/J286</f>
        <v>2.6352426634225155</v>
      </c>
      <c r="M286" s="456" t="s">
        <v>37</v>
      </c>
      <c r="N286" s="539">
        <f>L110</f>
        <v>50.265345210354916</v>
      </c>
      <c r="O286" s="527"/>
      <c r="P286" s="457" t="s">
        <v>28</v>
      </c>
      <c r="Q286" s="738">
        <f>N286*L286</f>
        <v>132.46138218998786</v>
      </c>
      <c r="R286" s="738"/>
      <c r="S286" s="521" t="s">
        <v>138</v>
      </c>
      <c r="T286" s="51"/>
      <c r="U286" s="94"/>
    </row>
    <row r="287" spans="1:21" ht="15.75">
      <c r="A287" s="411"/>
      <c r="B287" s="758" t="s">
        <v>593</v>
      </c>
      <c r="C287" s="758"/>
      <c r="D287" s="758"/>
      <c r="E287" s="758"/>
      <c r="F287" s="461" t="s">
        <v>359</v>
      </c>
      <c r="G287" s="462" t="s">
        <v>28</v>
      </c>
      <c r="H287" s="705">
        <f>Q286</f>
        <v>132.46138218998786</v>
      </c>
      <c r="I287" s="705"/>
      <c r="J287" s="460" t="s">
        <v>37</v>
      </c>
      <c r="K287" s="872">
        <f>F284/1000</f>
        <v>0.3</v>
      </c>
      <c r="L287" s="872"/>
      <c r="M287" s="420" t="s">
        <v>28</v>
      </c>
      <c r="N287" s="502">
        <f>H287*K287</f>
        <v>39.738414656996355</v>
      </c>
      <c r="O287" s="203"/>
      <c r="P287" s="90" t="s">
        <v>142</v>
      </c>
      <c r="Q287" s="419"/>
      <c r="R287" s="579"/>
      <c r="S287" s="74"/>
      <c r="T287" s="51"/>
      <c r="U287" s="94"/>
    </row>
    <row r="288" spans="1:21" ht="12" customHeight="1">
      <c r="A288" s="411"/>
      <c r="B288" s="755" t="s">
        <v>585</v>
      </c>
      <c r="C288" s="755"/>
      <c r="D288" s="755"/>
      <c r="E288" s="727" t="s">
        <v>28</v>
      </c>
      <c r="F288" s="725">
        <f>J259</f>
        <v>0.37947169491452154</v>
      </c>
      <c r="G288" s="726" t="s">
        <v>37</v>
      </c>
      <c r="H288" s="461">
        <f>L259</f>
        <v>18</v>
      </c>
      <c r="I288" s="726" t="s">
        <v>37</v>
      </c>
      <c r="J288" s="725">
        <f>L69+P203</f>
        <v>4.525163000000001</v>
      </c>
      <c r="K288" s="719" t="s">
        <v>37</v>
      </c>
      <c r="L288" s="728" t="s">
        <v>442</v>
      </c>
      <c r="M288" s="729"/>
      <c r="N288" s="502"/>
      <c r="O288" s="505"/>
      <c r="P288" s="90" t="s">
        <v>190</v>
      </c>
      <c r="Q288" s="194"/>
      <c r="R288" s="194"/>
      <c r="S288" s="194"/>
      <c r="T288" s="51"/>
      <c r="U288" s="94"/>
    </row>
    <row r="289" spans="1:21" ht="14.25">
      <c r="A289" s="411"/>
      <c r="B289" s="755"/>
      <c r="C289" s="755"/>
      <c r="D289" s="755"/>
      <c r="E289" s="727"/>
      <c r="F289" s="725"/>
      <c r="G289" s="726"/>
      <c r="H289" s="453">
        <v>2</v>
      </c>
      <c r="I289" s="727"/>
      <c r="J289" s="725"/>
      <c r="K289" s="720"/>
      <c r="L289" s="728"/>
      <c r="M289" s="729"/>
      <c r="N289" s="502"/>
      <c r="O289" s="494"/>
      <c r="P289" s="494"/>
      <c r="Q289" s="194"/>
      <c r="R289" s="194"/>
      <c r="S289" s="194"/>
      <c r="T289" s="51"/>
      <c r="U289" s="94"/>
    </row>
    <row r="290" spans="1:21" ht="15.75">
      <c r="A290" s="411"/>
      <c r="B290" s="494"/>
      <c r="C290" s="494"/>
      <c r="D290" s="494" t="s">
        <v>594</v>
      </c>
      <c r="E290" s="462" t="s">
        <v>28</v>
      </c>
      <c r="F290" s="580">
        <f>F288*H288/H289</f>
        <v>3.415245254230694</v>
      </c>
      <c r="G290" s="461" t="s">
        <v>45</v>
      </c>
      <c r="H290" s="460">
        <f>J288</f>
        <v>4.525163000000001</v>
      </c>
      <c r="I290" s="203" t="s">
        <v>595</v>
      </c>
      <c r="J290" s="202">
        <f>J28</f>
        <v>0.9612</v>
      </c>
      <c r="K290" s="581" t="s">
        <v>28</v>
      </c>
      <c r="L290" s="502">
        <f>F290*H290^2*J290</f>
        <v>67.22086761353458</v>
      </c>
      <c r="M290" s="90"/>
      <c r="N290" s="90" t="str">
        <f>P287</f>
        <v>kN</v>
      </c>
      <c r="O290" s="505"/>
      <c r="P290" s="90"/>
      <c r="Q290" s="419"/>
      <c r="R290" s="724" t="s">
        <v>360</v>
      </c>
      <c r="S290" s="724"/>
      <c r="T290" s="51"/>
      <c r="U290" s="94"/>
    </row>
    <row r="291" spans="1:21" ht="14.25">
      <c r="A291" s="411"/>
      <c r="B291" s="715" t="s">
        <v>586</v>
      </c>
      <c r="C291" s="715"/>
      <c r="D291" s="715"/>
      <c r="E291" s="715"/>
      <c r="F291" s="715"/>
      <c r="G291" s="715"/>
      <c r="H291" s="715"/>
      <c r="I291" s="715"/>
      <c r="J291" s="715"/>
      <c r="K291" s="581" t="s">
        <v>28</v>
      </c>
      <c r="L291" s="502">
        <f>J47</f>
        <v>2.4</v>
      </c>
      <c r="M291" s="90" t="s">
        <v>37</v>
      </c>
      <c r="N291" s="90">
        <f>J7</f>
        <v>18</v>
      </c>
      <c r="O291" s="411" t="s">
        <v>37</v>
      </c>
      <c r="P291" s="441">
        <f>K287</f>
        <v>0.3</v>
      </c>
      <c r="Q291" s="505" t="s">
        <v>28</v>
      </c>
      <c r="R291" s="502">
        <f>P291*N291*L291</f>
        <v>12.959999999999999</v>
      </c>
      <c r="S291" s="582" t="str">
        <f>N290</f>
        <v>kN</v>
      </c>
      <c r="T291" s="74"/>
      <c r="U291" s="94"/>
    </row>
    <row r="292" spans="1:23" ht="15">
      <c r="A292" s="411"/>
      <c r="B292" s="529"/>
      <c r="C292" s="537" t="s">
        <v>56</v>
      </c>
      <c r="D292" s="583" t="s">
        <v>596</v>
      </c>
      <c r="E292" s="559" t="s">
        <v>28</v>
      </c>
      <c r="F292" s="200">
        <f>L88</f>
        <v>120.6368285048518</v>
      </c>
      <c r="G292" s="559" t="s">
        <v>39</v>
      </c>
      <c r="H292" s="200">
        <f>R291</f>
        <v>12.959999999999999</v>
      </c>
      <c r="I292" s="505" t="s">
        <v>28</v>
      </c>
      <c r="J292" s="738">
        <f>F292+H292</f>
        <v>133.5968285048518</v>
      </c>
      <c r="K292" s="738"/>
      <c r="L292" s="90" t="str">
        <f>S291</f>
        <v>kN</v>
      </c>
      <c r="M292" s="90"/>
      <c r="N292" s="225" t="s">
        <v>361</v>
      </c>
      <c r="O292" s="584"/>
      <c r="P292" s="585"/>
      <c r="Q292" s="586"/>
      <c r="R292" s="587"/>
      <c r="S292" s="588"/>
      <c r="T292" s="194"/>
      <c r="U292" s="94"/>
      <c r="V292" s="3"/>
      <c r="W292" s="3"/>
    </row>
    <row r="293" spans="1:21" ht="14.25">
      <c r="A293" s="411"/>
      <c r="B293" s="715" t="s">
        <v>362</v>
      </c>
      <c r="C293" s="715"/>
      <c r="D293" s="715"/>
      <c r="E293" s="715"/>
      <c r="F293" s="715"/>
      <c r="G293" s="462" t="s">
        <v>28</v>
      </c>
      <c r="H293" s="721" t="s">
        <v>364</v>
      </c>
      <c r="I293" s="721"/>
      <c r="J293" s="721"/>
      <c r="K293" s="721"/>
      <c r="L293" s="721"/>
      <c r="M293" s="721"/>
      <c r="N293" s="721"/>
      <c r="O293" s="505"/>
      <c r="P293" s="90"/>
      <c r="Q293" s="419"/>
      <c r="R293" s="458"/>
      <c r="S293" s="51"/>
      <c r="T293" s="194"/>
      <c r="U293" s="94"/>
    </row>
    <row r="294" spans="1:21" ht="15.75">
      <c r="A294" s="411"/>
      <c r="B294" s="723">
        <v>1.5</v>
      </c>
      <c r="C294" s="723"/>
      <c r="D294" s="768" t="s">
        <v>28</v>
      </c>
      <c r="E294" s="496" t="s">
        <v>597</v>
      </c>
      <c r="F294" s="411"/>
      <c r="G294" s="757" t="s">
        <v>28</v>
      </c>
      <c r="H294" s="496">
        <v>0.5</v>
      </c>
      <c r="I294" s="496" t="s">
        <v>587</v>
      </c>
      <c r="J294" s="589">
        <f>J292</f>
        <v>133.5968285048518</v>
      </c>
      <c r="K294" s="590" t="s">
        <v>39</v>
      </c>
      <c r="L294" s="591">
        <f>N287</f>
        <v>39.738414656996355</v>
      </c>
      <c r="M294" s="757" t="s">
        <v>28</v>
      </c>
      <c r="N294" s="737">
        <f>(H294*J294+L294)/H295</f>
        <v>1.584877325920911</v>
      </c>
      <c r="O294" s="749" t="s">
        <v>147</v>
      </c>
      <c r="P294" s="749">
        <v>1.5</v>
      </c>
      <c r="Q294" s="749" t="str">
        <f>IF(N294&gt;P294,"Hence safe","Hence not safe")</f>
        <v>Hence safe</v>
      </c>
      <c r="R294" s="749"/>
      <c r="S294" s="749"/>
      <c r="T294" s="51"/>
      <c r="U294" s="94"/>
    </row>
    <row r="295" spans="1:21" ht="15.75">
      <c r="A295" s="411"/>
      <c r="B295" s="723"/>
      <c r="C295" s="723"/>
      <c r="D295" s="766"/>
      <c r="E295" s="722" t="s">
        <v>363</v>
      </c>
      <c r="F295" s="722"/>
      <c r="G295" s="749"/>
      <c r="H295" s="975">
        <f>L290</f>
        <v>67.22086761353458</v>
      </c>
      <c r="I295" s="975"/>
      <c r="J295" s="975"/>
      <c r="K295" s="975"/>
      <c r="L295" s="975"/>
      <c r="M295" s="757"/>
      <c r="N295" s="737"/>
      <c r="O295" s="749"/>
      <c r="P295" s="749"/>
      <c r="Q295" s="749"/>
      <c r="R295" s="749"/>
      <c r="S295" s="749"/>
      <c r="T295" s="51"/>
      <c r="U295" s="94"/>
    </row>
    <row r="296" spans="1:21" ht="15">
      <c r="A296" s="411"/>
      <c r="B296" s="715" t="s">
        <v>365</v>
      </c>
      <c r="C296" s="715"/>
      <c r="D296" s="715"/>
      <c r="E296" s="715"/>
      <c r="F296" s="715"/>
      <c r="G296" s="421" t="s">
        <v>28</v>
      </c>
      <c r="H296" s="575">
        <f>F284</f>
        <v>300</v>
      </c>
      <c r="I296" s="494" t="s">
        <v>366</v>
      </c>
      <c r="J296" s="494"/>
      <c r="K296" s="494"/>
      <c r="L296" s="494"/>
      <c r="M296" s="494"/>
      <c r="N296" s="417">
        <f>R61</f>
        <v>310</v>
      </c>
      <c r="O296" s="592" t="s">
        <v>367</v>
      </c>
      <c r="P296" s="411"/>
      <c r="Q296" s="494"/>
      <c r="R296" s="494"/>
      <c r="S296" s="494"/>
      <c r="T296" s="78"/>
      <c r="U296" s="94"/>
    </row>
    <row r="297" spans="1:21" ht="12.75" customHeight="1">
      <c r="A297" s="411"/>
      <c r="B297" s="736" t="s">
        <v>598</v>
      </c>
      <c r="C297" s="736"/>
      <c r="D297" s="736"/>
      <c r="E297" s="736"/>
      <c r="F297" s="736"/>
      <c r="G297" s="736"/>
      <c r="H297" s="736"/>
      <c r="I297" s="736"/>
      <c r="J297" s="736"/>
      <c r="K297" s="736"/>
      <c r="L297" s="736"/>
      <c r="M297" s="736"/>
      <c r="N297" s="736"/>
      <c r="O297" s="736"/>
      <c r="P297" s="736"/>
      <c r="Q297" s="736"/>
      <c r="R297" s="736"/>
      <c r="S297" s="736"/>
      <c r="T297" s="78"/>
      <c r="U297" s="94"/>
    </row>
    <row r="298" spans="1:32" ht="15">
      <c r="A298" s="411"/>
      <c r="B298" s="736"/>
      <c r="C298" s="736"/>
      <c r="D298" s="736"/>
      <c r="E298" s="736"/>
      <c r="F298" s="736"/>
      <c r="G298" s="736"/>
      <c r="H298" s="736"/>
      <c r="I298" s="736"/>
      <c r="J298" s="736"/>
      <c r="K298" s="736"/>
      <c r="L298" s="736"/>
      <c r="M298" s="736"/>
      <c r="N298" s="736"/>
      <c r="O298" s="736"/>
      <c r="P298" s="736"/>
      <c r="Q298" s="736"/>
      <c r="R298" s="736"/>
      <c r="S298" s="736"/>
      <c r="T298" s="215"/>
      <c r="U298" s="94"/>
      <c r="Y298" s="217"/>
      <c r="Z298" s="217"/>
      <c r="AA298" s="217"/>
      <c r="AB298" s="217"/>
      <c r="AC298" s="217"/>
      <c r="AD298" s="217"/>
      <c r="AE298" s="217"/>
      <c r="AF298" s="217"/>
    </row>
    <row r="299" spans="1:32" ht="12.75">
      <c r="A299" s="411"/>
      <c r="B299" s="715" t="s">
        <v>192</v>
      </c>
      <c r="C299" s="757" t="s">
        <v>28</v>
      </c>
      <c r="D299" s="749" t="s">
        <v>599</v>
      </c>
      <c r="E299" s="757" t="s">
        <v>28</v>
      </c>
      <c r="F299" s="749" t="s">
        <v>368</v>
      </c>
      <c r="G299" s="749" t="s">
        <v>37</v>
      </c>
      <c r="H299" s="718">
        <v>45</v>
      </c>
      <c r="I299" s="757" t="s">
        <v>39</v>
      </c>
      <c r="J299" s="503" t="s">
        <v>369</v>
      </c>
      <c r="K299" s="757" t="s">
        <v>28</v>
      </c>
      <c r="L299" s="716" t="s">
        <v>600</v>
      </c>
      <c r="M299" s="411"/>
      <c r="N299" s="521" t="s">
        <v>601</v>
      </c>
      <c r="O299" s="494"/>
      <c r="P299" s="411"/>
      <c r="Q299" s="521"/>
      <c r="R299" s="494"/>
      <c r="S299" s="494"/>
      <c r="T299" s="278"/>
      <c r="U299" s="94"/>
      <c r="Y299" s="217"/>
      <c r="Z299" s="217"/>
      <c r="AA299" s="217"/>
      <c r="AB299" s="217"/>
      <c r="AC299" s="217"/>
      <c r="AD299" s="217"/>
      <c r="AE299" s="217"/>
      <c r="AF299" s="217"/>
    </row>
    <row r="300" spans="1:21" ht="12.75">
      <c r="A300" s="411"/>
      <c r="B300" s="715"/>
      <c r="C300" s="757"/>
      <c r="D300" s="749"/>
      <c r="E300" s="757"/>
      <c r="F300" s="749"/>
      <c r="G300" s="749"/>
      <c r="H300" s="718"/>
      <c r="I300" s="757"/>
      <c r="J300" s="504">
        <v>2</v>
      </c>
      <c r="K300" s="749"/>
      <c r="L300" s="717"/>
      <c r="M300" s="593" t="s">
        <v>370</v>
      </c>
      <c r="N300" s="411"/>
      <c r="O300" s="411"/>
      <c r="P300" s="521"/>
      <c r="Q300" s="521"/>
      <c r="R300" s="494"/>
      <c r="S300" s="494"/>
      <c r="T300" s="78"/>
      <c r="U300" s="94"/>
    </row>
    <row r="301" spans="1:21" ht="15.75">
      <c r="A301" s="411"/>
      <c r="B301" s="538" t="s">
        <v>56</v>
      </c>
      <c r="C301" s="494"/>
      <c r="D301" s="529" t="s">
        <v>602</v>
      </c>
      <c r="E301" s="457" t="s">
        <v>28</v>
      </c>
      <c r="F301" s="456">
        <f>H296/1000</f>
        <v>0.3</v>
      </c>
      <c r="G301" s="456" t="s">
        <v>64</v>
      </c>
      <c r="H301" s="539">
        <f>L286</f>
        <v>2.6352426634225155</v>
      </c>
      <c r="I301" s="456" t="s">
        <v>603</v>
      </c>
      <c r="J301" s="504"/>
      <c r="K301" s="456"/>
      <c r="L301" s="456"/>
      <c r="M301" s="456"/>
      <c r="N301" s="539"/>
      <c r="O301" s="456"/>
      <c r="P301" s="539"/>
      <c r="Q301" s="539"/>
      <c r="R301" s="527"/>
      <c r="S301" s="494"/>
      <c r="T301" s="78"/>
      <c r="U301" s="94"/>
    </row>
    <row r="302" spans="1:23" ht="15.75">
      <c r="A302" s="411"/>
      <c r="B302" s="494"/>
      <c r="C302" s="494"/>
      <c r="D302" s="529" t="s">
        <v>192</v>
      </c>
      <c r="E302" s="457" t="s">
        <v>28</v>
      </c>
      <c r="F302" s="456">
        <f>F301*H301^0.5</f>
        <v>0.48700291550259367</v>
      </c>
      <c r="G302" s="455" t="s">
        <v>15</v>
      </c>
      <c r="H302" s="756" t="s">
        <v>371</v>
      </c>
      <c r="I302" s="756"/>
      <c r="J302" s="756"/>
      <c r="K302" s="756"/>
      <c r="L302" s="756"/>
      <c r="M302" s="756"/>
      <c r="N302" s="756"/>
      <c r="O302" s="495" t="s">
        <v>28</v>
      </c>
      <c r="P302" s="423" t="s">
        <v>372</v>
      </c>
      <c r="Q302" s="495" t="s">
        <v>28</v>
      </c>
      <c r="R302" s="522">
        <f>P49</f>
        <v>1.2000000000000002</v>
      </c>
      <c r="S302" s="494" t="s">
        <v>15</v>
      </c>
      <c r="T302" s="84"/>
      <c r="U302" s="94"/>
      <c r="V302" s="93"/>
      <c r="W302" s="93"/>
    </row>
    <row r="303" spans="1:21" ht="12.75">
      <c r="A303" s="501"/>
      <c r="B303" s="86"/>
      <c r="C303" s="86"/>
      <c r="D303" s="86"/>
      <c r="E303" s="86"/>
      <c r="F303" s="86"/>
      <c r="G303" s="199"/>
      <c r="H303" s="120"/>
      <c r="I303" s="86"/>
      <c r="J303" s="86"/>
      <c r="K303" s="86"/>
      <c r="L303" s="87"/>
      <c r="M303" s="86"/>
      <c r="N303" s="86"/>
      <c r="O303" s="195"/>
      <c r="P303" s="86" t="s">
        <v>373</v>
      </c>
      <c r="Q303" s="86"/>
      <c r="R303" s="86"/>
      <c r="S303" s="86"/>
      <c r="T303" s="204"/>
      <c r="U303" s="94"/>
    </row>
    <row r="304" spans="1:21" ht="12.75" customHeight="1">
      <c r="A304" s="501"/>
      <c r="B304" s="501"/>
      <c r="C304" s="120"/>
      <c r="D304" s="199" t="s">
        <v>374</v>
      </c>
      <c r="E304" s="572" t="s">
        <v>28</v>
      </c>
      <c r="F304" s="88">
        <f>H296</f>
        <v>300</v>
      </c>
      <c r="G304" s="88" t="s">
        <v>37</v>
      </c>
      <c r="H304" s="196">
        <f>N296</f>
        <v>310</v>
      </c>
      <c r="I304" s="86" t="s">
        <v>26</v>
      </c>
      <c r="J304" s="88"/>
      <c r="K304" s="88"/>
      <c r="L304" s="88"/>
      <c r="M304" s="195"/>
      <c r="N304" s="87"/>
      <c r="O304" s="86"/>
      <c r="P304" s="86"/>
      <c r="Q304" s="88"/>
      <c r="R304" s="88"/>
      <c r="S304" s="88"/>
      <c r="T304" s="204"/>
      <c r="U304" s="235"/>
    </row>
    <row r="305" spans="1:21" ht="15.75">
      <c r="A305" s="501"/>
      <c r="B305" s="86" t="s">
        <v>375</v>
      </c>
      <c r="C305" s="86"/>
      <c r="D305" s="86"/>
      <c r="E305" s="86"/>
      <c r="F305" s="86"/>
      <c r="G305" s="120"/>
      <c r="H305" s="88"/>
      <c r="I305" s="120" t="s">
        <v>28</v>
      </c>
      <c r="J305" s="198" t="s">
        <v>589</v>
      </c>
      <c r="K305" s="88"/>
      <c r="L305" s="88"/>
      <c r="M305" s="88"/>
      <c r="N305" s="88"/>
      <c r="O305" s="88"/>
      <c r="P305" s="88"/>
      <c r="Q305" s="88"/>
      <c r="R305" s="88"/>
      <c r="S305" s="88"/>
      <c r="T305" s="86"/>
      <c r="U305" s="96" t="s">
        <v>83</v>
      </c>
    </row>
    <row r="306" spans="1:21" ht="12.75">
      <c r="A306" s="501"/>
      <c r="B306" s="573"/>
      <c r="C306" s="456"/>
      <c r="D306" s="456"/>
      <c r="E306" s="456"/>
      <c r="F306" s="456"/>
      <c r="G306" s="456"/>
      <c r="H306" s="456"/>
      <c r="I306" s="457" t="s">
        <v>28</v>
      </c>
      <c r="J306" s="456">
        <v>1.5</v>
      </c>
      <c r="K306" s="456" t="s">
        <v>37</v>
      </c>
      <c r="L306" s="539">
        <f>L290</f>
        <v>67.22086761353458</v>
      </c>
      <c r="M306" s="457" t="s">
        <v>41</v>
      </c>
      <c r="N306" s="456">
        <f>0.5</f>
        <v>0.5</v>
      </c>
      <c r="O306" s="456" t="s">
        <v>37</v>
      </c>
      <c r="P306" s="737">
        <f>J292</f>
        <v>133.5968285048518</v>
      </c>
      <c r="Q306" s="737"/>
      <c r="R306" s="456"/>
      <c r="S306" s="456"/>
      <c r="T306" s="88"/>
      <c r="U306" s="94"/>
    </row>
    <row r="307" spans="1:21" ht="12.75" customHeight="1">
      <c r="A307" s="411"/>
      <c r="B307" s="456"/>
      <c r="C307" s="456"/>
      <c r="D307" s="527"/>
      <c r="E307" s="456"/>
      <c r="F307" s="456"/>
      <c r="G307" s="456"/>
      <c r="H307" s="456"/>
      <c r="I307" s="457" t="s">
        <v>28</v>
      </c>
      <c r="J307" s="738">
        <f>J306*L306-N306*P306</f>
        <v>34.03288716787597</v>
      </c>
      <c r="K307" s="738"/>
      <c r="L307" s="456" t="s">
        <v>142</v>
      </c>
      <c r="M307" s="456"/>
      <c r="N307" s="456"/>
      <c r="O307" s="456"/>
      <c r="P307" s="504"/>
      <c r="Q307" s="494"/>
      <c r="R307" s="456"/>
      <c r="S307" s="456"/>
      <c r="T307" s="88"/>
      <c r="U307" s="94"/>
    </row>
    <row r="308" spans="1:21" ht="15">
      <c r="A308" s="411"/>
      <c r="B308" s="758" t="s">
        <v>590</v>
      </c>
      <c r="C308" s="758"/>
      <c r="D308" s="758"/>
      <c r="E308" s="757" t="s">
        <v>28</v>
      </c>
      <c r="F308" s="539">
        <f>J307</f>
        <v>34.03288716787597</v>
      </c>
      <c r="G308" s="456" t="s">
        <v>37</v>
      </c>
      <c r="H308" s="456">
        <v>1000</v>
      </c>
      <c r="I308" s="757" t="s">
        <v>28</v>
      </c>
      <c r="J308" s="739">
        <f>F308*H308/(F309*H309)</f>
        <v>0.11344295722625322</v>
      </c>
      <c r="K308" s="739"/>
      <c r="L308" s="735" t="s">
        <v>32</v>
      </c>
      <c r="M308" s="735"/>
      <c r="N308" s="456"/>
      <c r="O308" s="456"/>
      <c r="P308" s="504"/>
      <c r="Q308" s="574"/>
      <c r="R308" s="575"/>
      <c r="S308" s="456"/>
      <c r="T308" s="92"/>
      <c r="U308" s="94"/>
    </row>
    <row r="309" spans="1:21" ht="14.25" customHeight="1">
      <c r="A309" s="411"/>
      <c r="B309" s="758"/>
      <c r="C309" s="758"/>
      <c r="D309" s="758"/>
      <c r="E309" s="757"/>
      <c r="F309" s="499">
        <f>H296</f>
        <v>300</v>
      </c>
      <c r="G309" s="499" t="s">
        <v>37</v>
      </c>
      <c r="H309" s="499">
        <v>1000</v>
      </c>
      <c r="I309" s="749"/>
      <c r="J309" s="739"/>
      <c r="K309" s="739"/>
      <c r="L309" s="735"/>
      <c r="M309" s="735"/>
      <c r="N309" s="456"/>
      <c r="O309" s="456"/>
      <c r="P309" s="456"/>
      <c r="Q309" s="527"/>
      <c r="R309" s="456"/>
      <c r="S309" s="456"/>
      <c r="T309" s="88"/>
      <c r="U309" s="94"/>
    </row>
    <row r="310" spans="1:21" ht="12.75">
      <c r="A310" s="411"/>
      <c r="B310" s="756" t="s">
        <v>376</v>
      </c>
      <c r="C310" s="756"/>
      <c r="D310" s="756"/>
      <c r="E310" s="757" t="s">
        <v>28</v>
      </c>
      <c r="F310" s="539">
        <f>F308</f>
        <v>34.03288716787597</v>
      </c>
      <c r="G310" s="456" t="s">
        <v>37</v>
      </c>
      <c r="H310" s="504">
        <f>F309/2</f>
        <v>150</v>
      </c>
      <c r="I310" s="456" t="s">
        <v>37</v>
      </c>
      <c r="J310" s="456">
        <v>1000</v>
      </c>
      <c r="K310" s="527"/>
      <c r="L310" s="456"/>
      <c r="M310" s="456"/>
      <c r="N310" s="456"/>
      <c r="O310" s="456"/>
      <c r="P310" s="456"/>
      <c r="Q310" s="527"/>
      <c r="R310" s="456"/>
      <c r="S310" s="456"/>
      <c r="T310" s="88"/>
      <c r="U310" s="94"/>
    </row>
    <row r="311" spans="1:21" ht="14.25">
      <c r="A311" s="411"/>
      <c r="B311" s="756"/>
      <c r="C311" s="756"/>
      <c r="D311" s="756"/>
      <c r="E311" s="757"/>
      <c r="F311" s="576" t="s">
        <v>377</v>
      </c>
      <c r="G311" s="499" t="s">
        <v>37</v>
      </c>
      <c r="H311" s="430">
        <v>1000</v>
      </c>
      <c r="I311" s="499" t="s">
        <v>45</v>
      </c>
      <c r="J311" s="443">
        <f>F309</f>
        <v>300</v>
      </c>
      <c r="K311" s="499" t="s">
        <v>141</v>
      </c>
      <c r="L311" s="456"/>
      <c r="M311" s="457"/>
      <c r="N311" s="456"/>
      <c r="O311" s="494"/>
      <c r="P311" s="494"/>
      <c r="Q311" s="527"/>
      <c r="R311" s="456"/>
      <c r="S311" s="456"/>
      <c r="T311" s="88"/>
      <c r="U311" s="94"/>
    </row>
    <row r="312" spans="1:21" ht="14.25">
      <c r="A312" s="411"/>
      <c r="B312" s="456"/>
      <c r="C312" s="456"/>
      <c r="D312" s="527"/>
      <c r="E312" s="457" t="s">
        <v>28</v>
      </c>
      <c r="F312" s="737">
        <f>F310*H310*J310/(0.1667*H311*J311^2)</f>
        <v>0.34026081951485676</v>
      </c>
      <c r="G312" s="737"/>
      <c r="H312" s="527" t="s">
        <v>32</v>
      </c>
      <c r="I312" s="457"/>
      <c r="J312" s="504"/>
      <c r="K312" s="457"/>
      <c r="L312" s="494" t="s">
        <v>148</v>
      </c>
      <c r="M312" s="457"/>
      <c r="N312" s="456"/>
      <c r="O312" s="456"/>
      <c r="P312" s="456"/>
      <c r="Q312" s="574"/>
      <c r="R312" s="456"/>
      <c r="S312" s="456"/>
      <c r="T312" s="88"/>
      <c r="U312" s="94"/>
    </row>
    <row r="313" spans="1:21" ht="12.75">
      <c r="A313" s="411"/>
      <c r="B313" s="494" t="s">
        <v>588</v>
      </c>
      <c r="C313" s="456"/>
      <c r="D313" s="411"/>
      <c r="E313" s="456"/>
      <c r="F313" s="455"/>
      <c r="G313" s="457"/>
      <c r="H313" s="456"/>
      <c r="I313" s="457"/>
      <c r="J313" s="504"/>
      <c r="K313" s="457"/>
      <c r="L313" s="494"/>
      <c r="M313" s="457"/>
      <c r="N313" s="504"/>
      <c r="O313" s="527"/>
      <c r="P313" s="456"/>
      <c r="Q313" s="527"/>
      <c r="R313" s="456"/>
      <c r="S313" s="456"/>
      <c r="T313" s="88"/>
      <c r="U313" s="94"/>
    </row>
    <row r="314" spans="1:21" ht="12.75">
      <c r="A314" s="375"/>
      <c r="B314" s="383"/>
      <c r="C314" s="382"/>
      <c r="D314" s="382"/>
      <c r="E314" s="383"/>
      <c r="F314" s="387"/>
      <c r="G314" s="383"/>
      <c r="H314" s="383"/>
      <c r="I314" s="386"/>
      <c r="J314" s="387"/>
      <c r="K314" s="385"/>
      <c r="L314" s="382"/>
      <c r="M314" s="383"/>
      <c r="N314" s="383"/>
      <c r="O314" s="385"/>
      <c r="P314" s="383"/>
      <c r="Q314" s="386"/>
      <c r="R314" s="383"/>
      <c r="S314" s="383"/>
      <c r="T314" s="88"/>
      <c r="U314" s="94"/>
    </row>
  </sheetData>
  <sheetProtection password="DC95" sheet="1" objects="1" scenarios="1"/>
  <mergeCells count="709">
    <mergeCell ref="O294:O295"/>
    <mergeCell ref="P294:P295"/>
    <mergeCell ref="Q294:S295"/>
    <mergeCell ref="J292:K292"/>
    <mergeCell ref="H295:L295"/>
    <mergeCell ref="M294:M295"/>
    <mergeCell ref="N294:N295"/>
    <mergeCell ref="P204:P205"/>
    <mergeCell ref="Q204:Q205"/>
    <mergeCell ref="R204:R205"/>
    <mergeCell ref="H207:J207"/>
    <mergeCell ref="M204:M205"/>
    <mergeCell ref="H205:J205"/>
    <mergeCell ref="N204:O205"/>
    <mergeCell ref="Q206:R207"/>
    <mergeCell ref="K204:K205"/>
    <mergeCell ref="L204:L205"/>
    <mergeCell ref="B263:E263"/>
    <mergeCell ref="B199:E199"/>
    <mergeCell ref="L199:R199"/>
    <mergeCell ref="B204:D205"/>
    <mergeCell ref="F204:F205"/>
    <mergeCell ref="G204:G205"/>
    <mergeCell ref="R239:S239"/>
    <mergeCell ref="K249:L249"/>
    <mergeCell ref="K246:K247"/>
    <mergeCell ref="L246:L247"/>
    <mergeCell ref="E165:E166"/>
    <mergeCell ref="F166:H166"/>
    <mergeCell ref="F163:F164"/>
    <mergeCell ref="G163:H163"/>
    <mergeCell ref="G164:H164"/>
    <mergeCell ref="P152:Q153"/>
    <mergeCell ref="M154:M155"/>
    <mergeCell ref="N154:O155"/>
    <mergeCell ref="P154:R155"/>
    <mergeCell ref="C154:D154"/>
    <mergeCell ref="C155:D155"/>
    <mergeCell ref="E154:E155"/>
    <mergeCell ref="I163:I164"/>
    <mergeCell ref="B156:D156"/>
    <mergeCell ref="B154:B155"/>
    <mergeCell ref="F155:G155"/>
    <mergeCell ref="B152:B153"/>
    <mergeCell ref="C152:C153"/>
    <mergeCell ref="F153:H153"/>
    <mergeCell ref="I152:I153"/>
    <mergeCell ref="E152:E153"/>
    <mergeCell ref="D152:D153"/>
    <mergeCell ref="F136:F137"/>
    <mergeCell ref="B151:D151"/>
    <mergeCell ref="B145:B146"/>
    <mergeCell ref="E95:E96"/>
    <mergeCell ref="C136:C137"/>
    <mergeCell ref="D136:E137"/>
    <mergeCell ref="D101:D102"/>
    <mergeCell ref="E101:E102"/>
    <mergeCell ref="B109:H109"/>
    <mergeCell ref="B105:B106"/>
    <mergeCell ref="G95:G96"/>
    <mergeCell ref="H96:K96"/>
    <mergeCell ref="D121:F121"/>
    <mergeCell ref="I110:I111"/>
    <mergeCell ref="I105:I106"/>
    <mergeCell ref="J105:J106"/>
    <mergeCell ref="J107:J108"/>
    <mergeCell ref="K110:K111"/>
    <mergeCell ref="I113:I114"/>
    <mergeCell ref="J113:J114"/>
    <mergeCell ref="B68:D68"/>
    <mergeCell ref="B69:D69"/>
    <mergeCell ref="C75:Q75"/>
    <mergeCell ref="P87:R87"/>
    <mergeCell ref="D87:J87"/>
    <mergeCell ref="L87:M87"/>
    <mergeCell ref="B70:C71"/>
    <mergeCell ref="D72:J72"/>
    <mergeCell ref="P83:R83"/>
    <mergeCell ref="N82:O82"/>
    <mergeCell ref="K64:L65"/>
    <mergeCell ref="M64:M65"/>
    <mergeCell ref="N64:R65"/>
    <mergeCell ref="B67:D67"/>
    <mergeCell ref="D64:D65"/>
    <mergeCell ref="E64:E65"/>
    <mergeCell ref="I64:I65"/>
    <mergeCell ref="J64:J65"/>
    <mergeCell ref="K57:K58"/>
    <mergeCell ref="M57:M58"/>
    <mergeCell ref="N57:N58"/>
    <mergeCell ref="P57:P58"/>
    <mergeCell ref="F57:F58"/>
    <mergeCell ref="G57:G58"/>
    <mergeCell ref="I57:I58"/>
    <mergeCell ref="J57:J58"/>
    <mergeCell ref="B31:B32"/>
    <mergeCell ref="R34:R35"/>
    <mergeCell ref="A56:F56"/>
    <mergeCell ref="G56:H56"/>
    <mergeCell ref="P49:Q49"/>
    <mergeCell ref="R50:S51"/>
    <mergeCell ref="P54:P55"/>
    <mergeCell ref="Q54:R55"/>
    <mergeCell ref="S54:S55"/>
    <mergeCell ref="G34:G35"/>
    <mergeCell ref="U13:X13"/>
    <mergeCell ref="B143:B144"/>
    <mergeCell ref="C133:D133"/>
    <mergeCell ref="C143:C144"/>
    <mergeCell ref="E143:E144"/>
    <mergeCell ref="G143:G144"/>
    <mergeCell ref="K143:K144"/>
    <mergeCell ref="L143:M144"/>
    <mergeCell ref="N143:N144"/>
    <mergeCell ref="H144:J144"/>
    <mergeCell ref="C147:C148"/>
    <mergeCell ref="D147:E148"/>
    <mergeCell ref="C145:C146"/>
    <mergeCell ref="D145:F146"/>
    <mergeCell ref="D227:E228"/>
    <mergeCell ref="D223:D224"/>
    <mergeCell ref="M223:M224"/>
    <mergeCell ref="N223:N224"/>
    <mergeCell ref="G227:G228"/>
    <mergeCell ref="C225:D226"/>
    <mergeCell ref="M225:N226"/>
    <mergeCell ref="E223:E224"/>
    <mergeCell ref="L225:L226"/>
    <mergeCell ref="I225:I226"/>
    <mergeCell ref="C214:C215"/>
    <mergeCell ref="D214:E215"/>
    <mergeCell ref="B212:B213"/>
    <mergeCell ref="C212:C213"/>
    <mergeCell ref="F223:F224"/>
    <mergeCell ref="Q223:R224"/>
    <mergeCell ref="P223:P224"/>
    <mergeCell ref="F220:F221"/>
    <mergeCell ref="K220:K221"/>
    <mergeCell ref="O223:O224"/>
    <mergeCell ref="G223:G224"/>
    <mergeCell ref="H224:J224"/>
    <mergeCell ref="K223:K224"/>
    <mergeCell ref="L223:L224"/>
    <mergeCell ref="E225:E226"/>
    <mergeCell ref="F225:F226"/>
    <mergeCell ref="J225:J226"/>
    <mergeCell ref="K225:K226"/>
    <mergeCell ref="B220:E221"/>
    <mergeCell ref="K216:K217"/>
    <mergeCell ref="C216:F217"/>
    <mergeCell ref="G216:G217"/>
    <mergeCell ref="B219:S219"/>
    <mergeCell ref="H216:H217"/>
    <mergeCell ref="I216:I217"/>
    <mergeCell ref="H221:J221"/>
    <mergeCell ref="S223:S224"/>
    <mergeCell ref="O220:R221"/>
    <mergeCell ref="L216:M217"/>
    <mergeCell ref="N216:N217"/>
    <mergeCell ref="L220:L221"/>
    <mergeCell ref="K214:L215"/>
    <mergeCell ref="M214:M215"/>
    <mergeCell ref="N214:O215"/>
    <mergeCell ref="P214:Q215"/>
    <mergeCell ref="I214:I215"/>
    <mergeCell ref="J214:J215"/>
    <mergeCell ref="F215:H215"/>
    <mergeCell ref="I212:I213"/>
    <mergeCell ref="D212:F213"/>
    <mergeCell ref="G212:G213"/>
    <mergeCell ref="N212:N213"/>
    <mergeCell ref="O212:P213"/>
    <mergeCell ref="Q212:R213"/>
    <mergeCell ref="J213:L213"/>
    <mergeCell ref="I210:J210"/>
    <mergeCell ref="K210:K211"/>
    <mergeCell ref="L210:M211"/>
    <mergeCell ref="N210:N211"/>
    <mergeCell ref="N206:N207"/>
    <mergeCell ref="B264:C264"/>
    <mergeCell ref="G264:H264"/>
    <mergeCell ref="K235:L235"/>
    <mergeCell ref="B208:D208"/>
    <mergeCell ref="B209:D209"/>
    <mergeCell ref="I209:J209"/>
    <mergeCell ref="B210:B211"/>
    <mergeCell ref="C210:E211"/>
    <mergeCell ref="C206:C207"/>
    <mergeCell ref="N196:O197"/>
    <mergeCell ref="G145:G146"/>
    <mergeCell ref="I155:J155"/>
    <mergeCell ref="J146:L146"/>
    <mergeCell ref="K147:L148"/>
    <mergeCell ref="M147:M148"/>
    <mergeCell ref="N145:N146"/>
    <mergeCell ref="N147:O148"/>
    <mergeCell ref="J163:L164"/>
    <mergeCell ref="O152:O153"/>
    <mergeCell ref="P196:R197"/>
    <mergeCell ref="M194:M195"/>
    <mergeCell ref="N194:N195"/>
    <mergeCell ref="B203:E203"/>
    <mergeCell ref="K194:K195"/>
    <mergeCell ref="L194:L195"/>
    <mergeCell ref="H198:J198"/>
    <mergeCell ref="M198:N198"/>
    <mergeCell ref="B198:E198"/>
    <mergeCell ref="B196:D197"/>
    <mergeCell ref="B206:B207"/>
    <mergeCell ref="D207:F207"/>
    <mergeCell ref="I194:I195"/>
    <mergeCell ref="J194:J195"/>
    <mergeCell ref="G206:G207"/>
    <mergeCell ref="E196:E197"/>
    <mergeCell ref="F196:H196"/>
    <mergeCell ref="I196:I197"/>
    <mergeCell ref="B192:E192"/>
    <mergeCell ref="B193:C193"/>
    <mergeCell ref="G193:H193"/>
    <mergeCell ref="B194:E195"/>
    <mergeCell ref="P182:Q183"/>
    <mergeCell ref="P190:Q191"/>
    <mergeCell ref="N190:O191"/>
    <mergeCell ref="N182:O183"/>
    <mergeCell ref="N186:N187"/>
    <mergeCell ref="Q188:R189"/>
    <mergeCell ref="N188:N189"/>
    <mergeCell ref="O188:P189"/>
    <mergeCell ref="B188:B189"/>
    <mergeCell ref="C188:C189"/>
    <mergeCell ref="D188:F189"/>
    <mergeCell ref="G188:G189"/>
    <mergeCell ref="M190:M191"/>
    <mergeCell ref="G186:G187"/>
    <mergeCell ref="H187:J187"/>
    <mergeCell ref="K186:K187"/>
    <mergeCell ref="L186:M187"/>
    <mergeCell ref="F191:H191"/>
    <mergeCell ref="I188:I189"/>
    <mergeCell ref="I190:I191"/>
    <mergeCell ref="J190:J191"/>
    <mergeCell ref="J189:L189"/>
    <mergeCell ref="C186:C187"/>
    <mergeCell ref="E186:E187"/>
    <mergeCell ref="F186:F187"/>
    <mergeCell ref="K190:L191"/>
    <mergeCell ref="C190:C191"/>
    <mergeCell ref="D190:E191"/>
    <mergeCell ref="B184:E184"/>
    <mergeCell ref="B185:C185"/>
    <mergeCell ref="O206:P207"/>
    <mergeCell ref="N180:N181"/>
    <mergeCell ref="O180:P181"/>
    <mergeCell ref="C182:C183"/>
    <mergeCell ref="D182:E183"/>
    <mergeCell ref="C180:C181"/>
    <mergeCell ref="B180:B181"/>
    <mergeCell ref="B186:B187"/>
    <mergeCell ref="M182:M183"/>
    <mergeCell ref="I180:I181"/>
    <mergeCell ref="J181:L181"/>
    <mergeCell ref="D180:F181"/>
    <mergeCell ref="G180:G181"/>
    <mergeCell ref="F183:H183"/>
    <mergeCell ref="I182:I183"/>
    <mergeCell ref="J182:J183"/>
    <mergeCell ref="K182:L183"/>
    <mergeCell ref="B176:B177"/>
    <mergeCell ref="F176:G176"/>
    <mergeCell ref="I176:J176"/>
    <mergeCell ref="C177:D177"/>
    <mergeCell ref="C176:D176"/>
    <mergeCell ref="E176:E177"/>
    <mergeCell ref="P169:R170"/>
    <mergeCell ref="J139:K139"/>
    <mergeCell ref="P138:Q138"/>
    <mergeCell ref="O145:P146"/>
    <mergeCell ref="P147:Q148"/>
    <mergeCell ref="Q145:R146"/>
    <mergeCell ref="K154:K155"/>
    <mergeCell ref="J152:J153"/>
    <mergeCell ref="R152:R153"/>
    <mergeCell ref="M152:N153"/>
    <mergeCell ref="N156:O156"/>
    <mergeCell ref="B134:S134"/>
    <mergeCell ref="K152:K153"/>
    <mergeCell ref="L152:L153"/>
    <mergeCell ref="O137:P137"/>
    <mergeCell ref="B136:B137"/>
    <mergeCell ref="B135:H135"/>
    <mergeCell ref="Q135:S135"/>
    <mergeCell ref="N135:O135"/>
    <mergeCell ref="F143:F144"/>
    <mergeCell ref="N123:N124"/>
    <mergeCell ref="F132:G132"/>
    <mergeCell ref="B129:D129"/>
    <mergeCell ref="E123:E124"/>
    <mergeCell ref="B126:E127"/>
    <mergeCell ref="C132:D132"/>
    <mergeCell ref="B128:D128"/>
    <mergeCell ref="C123:D124"/>
    <mergeCell ref="E132:E133"/>
    <mergeCell ref="D130:D131"/>
    <mergeCell ref="L132:M133"/>
    <mergeCell ref="I130:I131"/>
    <mergeCell ref="J130:J131"/>
    <mergeCell ref="E130:E131"/>
    <mergeCell ref="N132:N133"/>
    <mergeCell ref="N130:R131"/>
    <mergeCell ref="O123:O124"/>
    <mergeCell ref="K130:L131"/>
    <mergeCell ref="M130:M131"/>
    <mergeCell ref="L126:L127"/>
    <mergeCell ref="M126:N127"/>
    <mergeCell ref="J125:K125"/>
    <mergeCell ref="K126:K127"/>
    <mergeCell ref="I129:J129"/>
    <mergeCell ref="V144:V145"/>
    <mergeCell ref="M123:M124"/>
    <mergeCell ref="M113:N114"/>
    <mergeCell ref="F114:H114"/>
    <mergeCell ref="K113:K114"/>
    <mergeCell ref="L113:L114"/>
    <mergeCell ref="B116:S117"/>
    <mergeCell ref="D118:G118"/>
    <mergeCell ref="E122:F122"/>
    <mergeCell ref="G126:G127"/>
    <mergeCell ref="B113:B114"/>
    <mergeCell ref="C113:C114"/>
    <mergeCell ref="D113:D114"/>
    <mergeCell ref="E113:E114"/>
    <mergeCell ref="Q107:S107"/>
    <mergeCell ref="M110:N111"/>
    <mergeCell ref="B112:H112"/>
    <mergeCell ref="B110:B111"/>
    <mergeCell ref="C110:C111"/>
    <mergeCell ref="D110:D111"/>
    <mergeCell ref="E110:E111"/>
    <mergeCell ref="F111:H111"/>
    <mergeCell ref="J110:J111"/>
    <mergeCell ref="L110:L111"/>
    <mergeCell ref="N103:N104"/>
    <mergeCell ref="N106:O106"/>
    <mergeCell ref="M107:M108"/>
    <mergeCell ref="K108:L108"/>
    <mergeCell ref="N108:O108"/>
    <mergeCell ref="O93:O94"/>
    <mergeCell ref="P93:P94"/>
    <mergeCell ref="J101:J102"/>
    <mergeCell ref="K101:K102"/>
    <mergeCell ref="O101:O102"/>
    <mergeCell ref="M101:M102"/>
    <mergeCell ref="M95:N96"/>
    <mergeCell ref="O95:O96"/>
    <mergeCell ref="J95:K95"/>
    <mergeCell ref="L95:L96"/>
    <mergeCell ref="J93:K93"/>
    <mergeCell ref="J94:K94"/>
    <mergeCell ref="L93:L94"/>
    <mergeCell ref="M93:N94"/>
    <mergeCell ref="S70:S71"/>
    <mergeCell ref="D91:H92"/>
    <mergeCell ref="I91:I92"/>
    <mergeCell ref="N91:N92"/>
    <mergeCell ref="O91:P92"/>
    <mergeCell ref="N70:N71"/>
    <mergeCell ref="O70:P71"/>
    <mergeCell ref="K91:K92"/>
    <mergeCell ref="M91:M92"/>
    <mergeCell ref="J91:J92"/>
    <mergeCell ref="N88:O88"/>
    <mergeCell ref="L88:M88"/>
    <mergeCell ref="L85:M85"/>
    <mergeCell ref="L86:M86"/>
    <mergeCell ref="N85:O85"/>
    <mergeCell ref="N86:O86"/>
    <mergeCell ref="F37:F38"/>
    <mergeCell ref="S40:S41"/>
    <mergeCell ref="B42:S42"/>
    <mergeCell ref="D40:D41"/>
    <mergeCell ref="E37:E38"/>
    <mergeCell ref="E40:E41"/>
    <mergeCell ref="Q40:R41"/>
    <mergeCell ref="D37:D38"/>
    <mergeCell ref="C37:C38"/>
    <mergeCell ref="F40:F41"/>
    <mergeCell ref="B34:B35"/>
    <mergeCell ref="C34:C35"/>
    <mergeCell ref="D34:D35"/>
    <mergeCell ref="E34:E35"/>
    <mergeCell ref="O231:O232"/>
    <mergeCell ref="N7:O7"/>
    <mergeCell ref="J34:N34"/>
    <mergeCell ref="O34:O35"/>
    <mergeCell ref="K22:K23"/>
    <mergeCell ref="L22:L23"/>
    <mergeCell ref="N83:O83"/>
    <mergeCell ref="N59:N60"/>
    <mergeCell ref="I99:J99"/>
    <mergeCell ref="M59:M60"/>
    <mergeCell ref="J55:O55"/>
    <mergeCell ref="G43:H43"/>
    <mergeCell ref="N84:O84"/>
    <mergeCell ref="I54:I55"/>
    <mergeCell ref="F55:H55"/>
    <mergeCell ref="C82:K82"/>
    <mergeCell ref="O59:P60"/>
    <mergeCell ref="L83:M83"/>
    <mergeCell ref="L84:M84"/>
    <mergeCell ref="B51:D51"/>
    <mergeCell ref="B63:D63"/>
    <mergeCell ref="C53:D53"/>
    <mergeCell ref="B54:E55"/>
    <mergeCell ref="E59:E60"/>
    <mergeCell ref="B59:D60"/>
    <mergeCell ref="C57:D58"/>
    <mergeCell ref="E57:E58"/>
    <mergeCell ref="N99:O99"/>
    <mergeCell ref="D236:D237"/>
    <mergeCell ref="E236:E237"/>
    <mergeCell ref="F236:F237"/>
    <mergeCell ref="M231:M232"/>
    <mergeCell ref="K231:K232"/>
    <mergeCell ref="H237:I237"/>
    <mergeCell ref="K237:L237"/>
    <mergeCell ref="E233:F233"/>
    <mergeCell ref="G236:G237"/>
    <mergeCell ref="J165:J166"/>
    <mergeCell ref="K165:K166"/>
    <mergeCell ref="H124:J124"/>
    <mergeCell ref="I147:I148"/>
    <mergeCell ref="J147:J148"/>
    <mergeCell ref="F148:H148"/>
    <mergeCell ref="I145:I146"/>
    <mergeCell ref="K132:K133"/>
    <mergeCell ref="I132:J132"/>
    <mergeCell ref="G136:G137"/>
    <mergeCell ref="M196:M197"/>
    <mergeCell ref="L167:N167"/>
    <mergeCell ref="N175:O175"/>
    <mergeCell ref="M178:M179"/>
    <mergeCell ref="N178:R179"/>
    <mergeCell ref="P171:Q171"/>
    <mergeCell ref="N176:N177"/>
    <mergeCell ref="Q180:R181"/>
    <mergeCell ref="N168:O168"/>
    <mergeCell ref="N169:O170"/>
    <mergeCell ref="D234:D235"/>
    <mergeCell ref="E234:E235"/>
    <mergeCell ref="B119:F119"/>
    <mergeCell ref="B120:F120"/>
    <mergeCell ref="B122:D122"/>
    <mergeCell ref="E163:E164"/>
    <mergeCell ref="B231:B232"/>
    <mergeCell ref="C231:C232"/>
    <mergeCell ref="F231:G232"/>
    <mergeCell ref="B132:B133"/>
    <mergeCell ref="F70:F71"/>
    <mergeCell ref="D70:E70"/>
    <mergeCell ref="E103:E104"/>
    <mergeCell ref="B107:B108"/>
    <mergeCell ref="C107:C108"/>
    <mergeCell ref="E107:E108"/>
    <mergeCell ref="B103:B104"/>
    <mergeCell ref="C103:C104"/>
    <mergeCell ref="F103:F104"/>
    <mergeCell ref="B95:D96"/>
    <mergeCell ref="F89:G89"/>
    <mergeCell ref="F234:F235"/>
    <mergeCell ref="B99:D99"/>
    <mergeCell ref="E99:H99"/>
    <mergeCell ref="B91:C91"/>
    <mergeCell ref="C93:C94"/>
    <mergeCell ref="D93:H94"/>
    <mergeCell ref="B97:R97"/>
    <mergeCell ref="D231:D232"/>
    <mergeCell ref="F210:G210"/>
    <mergeCell ref="A4:S4"/>
    <mergeCell ref="G17:H17"/>
    <mergeCell ref="H19:J19"/>
    <mergeCell ref="F22:G22"/>
    <mergeCell ref="I22:J22"/>
    <mergeCell ref="H20:J20"/>
    <mergeCell ref="C22:D22"/>
    <mergeCell ref="E22:E23"/>
    <mergeCell ref="B22:B23"/>
    <mergeCell ref="P101:P102"/>
    <mergeCell ref="L49:O49"/>
    <mergeCell ref="C23:D23"/>
    <mergeCell ref="P40:P41"/>
    <mergeCell ref="D44:E44"/>
    <mergeCell ref="F43:F44"/>
    <mergeCell ref="H34:H35"/>
    <mergeCell ref="P43:P44"/>
    <mergeCell ref="C61:D61"/>
    <mergeCell ref="G101:G102"/>
    <mergeCell ref="B43:B44"/>
    <mergeCell ref="C43:C44"/>
    <mergeCell ref="B48:S48"/>
    <mergeCell ref="N43:O44"/>
    <mergeCell ref="B45:S45"/>
    <mergeCell ref="B46:E46"/>
    <mergeCell ref="N46:O46"/>
    <mergeCell ref="M43:M44"/>
    <mergeCell ref="D43:E43"/>
    <mergeCell ref="J47:K47"/>
    <mergeCell ref="H235:I235"/>
    <mergeCell ref="I231:I232"/>
    <mergeCell ref="G234:G235"/>
    <mergeCell ref="G59:G60"/>
    <mergeCell ref="I107:I108"/>
    <mergeCell ref="I165:I166"/>
    <mergeCell ref="G107:G108"/>
    <mergeCell ref="I103:I104"/>
    <mergeCell ref="I93:I94"/>
    <mergeCell ref="I101:I102"/>
    <mergeCell ref="C105:C106"/>
    <mergeCell ref="E105:E106"/>
    <mergeCell ref="G105:G106"/>
    <mergeCell ref="D178:D179"/>
    <mergeCell ref="C169:D170"/>
    <mergeCell ref="E169:E170"/>
    <mergeCell ref="F170:G170"/>
    <mergeCell ref="B168:D168"/>
    <mergeCell ref="B161:Q161"/>
    <mergeCell ref="F171:H171"/>
    <mergeCell ref="R105:S106"/>
    <mergeCell ref="J103:J104"/>
    <mergeCell ref="K103:K104"/>
    <mergeCell ref="G103:G104"/>
    <mergeCell ref="Q103:S104"/>
    <mergeCell ref="L103:L104"/>
    <mergeCell ref="O103:P104"/>
    <mergeCell ref="K106:L106"/>
    <mergeCell ref="M105:M106"/>
    <mergeCell ref="M103:M104"/>
    <mergeCell ref="L165:L166"/>
    <mergeCell ref="M165:M166"/>
    <mergeCell ref="N165:N166"/>
    <mergeCell ref="O165:O166"/>
    <mergeCell ref="P88:R88"/>
    <mergeCell ref="P85:R85"/>
    <mergeCell ref="P86:R86"/>
    <mergeCell ref="P95:P96"/>
    <mergeCell ref="Q95:R96"/>
    <mergeCell ref="Q93:S94"/>
    <mergeCell ref="P84:R84"/>
    <mergeCell ref="Q70:R71"/>
    <mergeCell ref="B244:K245"/>
    <mergeCell ref="B265:E266"/>
    <mergeCell ref="I265:I266"/>
    <mergeCell ref="J265:J266"/>
    <mergeCell ref="K265:K266"/>
    <mergeCell ref="L265:L266"/>
    <mergeCell ref="M265:M266"/>
    <mergeCell ref="N265:N266"/>
    <mergeCell ref="O244:S245"/>
    <mergeCell ref="B284:E284"/>
    <mergeCell ref="K287:L287"/>
    <mergeCell ref="M244:M245"/>
    <mergeCell ref="B267:E267"/>
    <mergeCell ref="H267:J267"/>
    <mergeCell ref="M267:N267"/>
    <mergeCell ref="J246:J247"/>
    <mergeCell ref="B252:S252"/>
    <mergeCell ref="M246:M247"/>
    <mergeCell ref="R251:S251"/>
    <mergeCell ref="C246:C247"/>
    <mergeCell ref="D248:D249"/>
    <mergeCell ref="E248:E249"/>
    <mergeCell ref="F248:F249"/>
    <mergeCell ref="E246:E247"/>
    <mergeCell ref="N247:O247"/>
    <mergeCell ref="Q247:R247"/>
    <mergeCell ref="F259:F260"/>
    <mergeCell ref="R259:R260"/>
    <mergeCell ref="K259:K260"/>
    <mergeCell ref="G259:H259"/>
    <mergeCell ref="G260:H260"/>
    <mergeCell ref="N259:N260"/>
    <mergeCell ref="O259:O260"/>
    <mergeCell ref="M259:M260"/>
    <mergeCell ref="B268:E268"/>
    <mergeCell ref="L268:R268"/>
    <mergeCell ref="P259:Q260"/>
    <mergeCell ref="I261:I262"/>
    <mergeCell ref="J261:K262"/>
    <mergeCell ref="L261:M262"/>
    <mergeCell ref="N261:O262"/>
    <mergeCell ref="Q261:S262"/>
    <mergeCell ref="I259:I260"/>
    <mergeCell ref="J259:J260"/>
    <mergeCell ref="E261:E262"/>
    <mergeCell ref="D261:D262"/>
    <mergeCell ref="C261:C262"/>
    <mergeCell ref="P261:P262"/>
    <mergeCell ref="D270:H270"/>
    <mergeCell ref="J271:L271"/>
    <mergeCell ref="M270:M271"/>
    <mergeCell ref="N270:O271"/>
    <mergeCell ref="P270:P271"/>
    <mergeCell ref="C272:C273"/>
    <mergeCell ref="D272:H273"/>
    <mergeCell ref="I272:I273"/>
    <mergeCell ref="K272:K273"/>
    <mergeCell ref="L272:L273"/>
    <mergeCell ref="M272:M273"/>
    <mergeCell ref="N272:N273"/>
    <mergeCell ref="O272:O273"/>
    <mergeCell ref="P272:Q273"/>
    <mergeCell ref="N274:N275"/>
    <mergeCell ref="O274:P275"/>
    <mergeCell ref="Q274:R275"/>
    <mergeCell ref="J275:L275"/>
    <mergeCell ref="B283:S283"/>
    <mergeCell ref="Q286:R286"/>
    <mergeCell ref="B287:E287"/>
    <mergeCell ref="H287:I287"/>
    <mergeCell ref="O276:S277"/>
    <mergeCell ref="B66:D66"/>
    <mergeCell ref="B115:D115"/>
    <mergeCell ref="C276:C277"/>
    <mergeCell ref="R272:R273"/>
    <mergeCell ref="B274:B275"/>
    <mergeCell ref="C274:C275"/>
    <mergeCell ref="D274:F275"/>
    <mergeCell ref="G274:G275"/>
    <mergeCell ref="I274:I275"/>
    <mergeCell ref="K276:K277"/>
    <mergeCell ref="L276:L277"/>
    <mergeCell ref="I278:J278"/>
    <mergeCell ref="M276:N277"/>
    <mergeCell ref="D277:F277"/>
    <mergeCell ref="G276:G277"/>
    <mergeCell ref="H276:H277"/>
    <mergeCell ref="I276:J277"/>
    <mergeCell ref="R290:S290"/>
    <mergeCell ref="B291:J291"/>
    <mergeCell ref="F288:F289"/>
    <mergeCell ref="G288:G289"/>
    <mergeCell ref="I288:I289"/>
    <mergeCell ref="J288:J289"/>
    <mergeCell ref="B288:D289"/>
    <mergeCell ref="E288:E289"/>
    <mergeCell ref="L288:L289"/>
    <mergeCell ref="M288:M289"/>
    <mergeCell ref="K288:K289"/>
    <mergeCell ref="B293:F293"/>
    <mergeCell ref="H293:N293"/>
    <mergeCell ref="E295:F295"/>
    <mergeCell ref="G294:G295"/>
    <mergeCell ref="B294:C295"/>
    <mergeCell ref="D294:D295"/>
    <mergeCell ref="B297:S298"/>
    <mergeCell ref="B296:F296"/>
    <mergeCell ref="H302:N302"/>
    <mergeCell ref="D299:D300"/>
    <mergeCell ref="E299:E300"/>
    <mergeCell ref="F299:F300"/>
    <mergeCell ref="L299:L300"/>
    <mergeCell ref="B299:B300"/>
    <mergeCell ref="C299:C300"/>
    <mergeCell ref="H299:H300"/>
    <mergeCell ref="I299:I300"/>
    <mergeCell ref="F312:G312"/>
    <mergeCell ref="P306:Q306"/>
    <mergeCell ref="J307:K307"/>
    <mergeCell ref="I308:I309"/>
    <mergeCell ref="J308:K309"/>
    <mergeCell ref="L308:M309"/>
    <mergeCell ref="K299:K300"/>
    <mergeCell ref="B310:D311"/>
    <mergeCell ref="E310:E311"/>
    <mergeCell ref="B308:D309"/>
    <mergeCell ref="E308:E309"/>
    <mergeCell ref="C31:C32"/>
    <mergeCell ref="D31:D32"/>
    <mergeCell ref="J31:J32"/>
    <mergeCell ref="G299:G300"/>
    <mergeCell ref="B278:F278"/>
    <mergeCell ref="B276:B277"/>
    <mergeCell ref="B167:D167"/>
    <mergeCell ref="E175:G175"/>
    <mergeCell ref="B174:R174"/>
    <mergeCell ref="I175:M175"/>
    <mergeCell ref="R31:R32"/>
    <mergeCell ref="H40:I40"/>
    <mergeCell ref="K40:L40"/>
    <mergeCell ref="I31:I32"/>
    <mergeCell ref="Q31:Q32"/>
    <mergeCell ref="K31:K32"/>
    <mergeCell ref="P34:Q35"/>
    <mergeCell ref="I34:I35"/>
    <mergeCell ref="H37:J37"/>
    <mergeCell ref="H38:J38"/>
    <mergeCell ref="P165:P166"/>
    <mergeCell ref="Q165:Q166"/>
    <mergeCell ref="R165:R166"/>
    <mergeCell ref="O167:P167"/>
    <mergeCell ref="K178:L179"/>
    <mergeCell ref="I170:J170"/>
    <mergeCell ref="E178:E179"/>
    <mergeCell ref="I178:I179"/>
    <mergeCell ref="J178:J179"/>
    <mergeCell ref="K176:K177"/>
    <mergeCell ref="L176:M177"/>
    <mergeCell ref="I173:J173"/>
    <mergeCell ref="K169:K170"/>
    <mergeCell ref="M169:M170"/>
  </mergeCells>
  <printOptions/>
  <pageMargins left="0.75" right="0.5" top="0.5" bottom="0.5" header="0.5" footer="0.25"/>
  <pageSetup horizontalDpi="600" verticalDpi="600" orientation="portrait" paperSize="9" r:id="rId2"/>
  <headerFooter alignWithMargins="0">
    <oddFooter>&amp;Lpk_nandwana@yahoo.co.in</oddFooter>
  </headerFooter>
  <ignoredErrors>
    <ignoredError sqref="L84 P84" formula="1"/>
  </ignoredErrors>
  <drawing r:id="rId1"/>
</worksheet>
</file>

<file path=xl/worksheets/sheet4.xml><?xml version="1.0" encoding="utf-8"?>
<worksheet xmlns="http://schemas.openxmlformats.org/spreadsheetml/2006/main" xmlns:r="http://schemas.openxmlformats.org/officeDocument/2006/relationships">
  <sheetPr>
    <tabColor indexed="35"/>
  </sheetPr>
  <dimension ref="A1:BF77"/>
  <sheetViews>
    <sheetView workbookViewId="0" topLeftCell="A58">
      <selection activeCell="AB67" sqref="AB67"/>
    </sheetView>
  </sheetViews>
  <sheetFormatPr defaultColWidth="9.140625" defaultRowHeight="12.75"/>
  <cols>
    <col min="1" max="16384" width="2.421875" style="0" customWidth="1"/>
  </cols>
  <sheetData>
    <row r="1" spans="9:44" ht="12.75">
      <c r="I1" s="1032">
        <v>0.2</v>
      </c>
      <c r="J1" s="1032"/>
      <c r="Z1" s="1032">
        <v>0.2</v>
      </c>
      <c r="AA1" s="1032"/>
      <c r="AP1" s="1032">
        <v>0.2</v>
      </c>
      <c r="AQ1" s="1032"/>
      <c r="AR1" s="10"/>
    </row>
    <row r="2" spans="9:44" ht="12.75">
      <c r="I2" s="10"/>
      <c r="J2" s="10"/>
      <c r="AA2" s="10"/>
      <c r="AP2" s="10"/>
      <c r="AQ2" s="10"/>
      <c r="AR2" s="10"/>
    </row>
    <row r="3" spans="9:44" ht="12.75">
      <c r="I3" s="10"/>
      <c r="J3" s="10"/>
      <c r="AA3" s="10"/>
      <c r="AP3" s="10"/>
      <c r="AQ3" s="10"/>
      <c r="AR3" s="10"/>
    </row>
    <row r="4" spans="7:47" ht="12.75">
      <c r="G4" s="670"/>
      <c r="L4" s="670" t="s">
        <v>62</v>
      </c>
      <c r="M4" t="str">
        <f>'Data sheet'!$B$14</f>
        <v>Surcharge angle</v>
      </c>
      <c r="X4" s="670"/>
      <c r="AC4" s="670" t="s">
        <v>62</v>
      </c>
      <c r="AD4" t="str">
        <f>'Data sheet'!$B$14</f>
        <v>Surcharge angle</v>
      </c>
      <c r="AN4" s="670"/>
      <c r="AT4" s="670" t="s">
        <v>62</v>
      </c>
      <c r="AU4" t="str">
        <f>'Data sheet'!$B$14</f>
        <v>Surcharge angle</v>
      </c>
    </row>
    <row r="5" spans="11:54" ht="12.75">
      <c r="K5" s="7" t="s">
        <v>21</v>
      </c>
      <c r="L5" s="7"/>
      <c r="M5" s="7"/>
      <c r="N5" s="7"/>
      <c r="O5" s="7"/>
      <c r="P5" s="7"/>
      <c r="Q5" s="7"/>
      <c r="R5" s="7"/>
      <c r="S5" s="7"/>
      <c r="AB5" s="7" t="s">
        <v>21</v>
      </c>
      <c r="AC5" s="7"/>
      <c r="AD5" s="7"/>
      <c r="AE5" s="7"/>
      <c r="AF5" s="7"/>
      <c r="AG5" s="7"/>
      <c r="AH5" s="7"/>
      <c r="AS5" s="7" t="s">
        <v>21</v>
      </c>
      <c r="AT5" s="7"/>
      <c r="AU5" s="7"/>
      <c r="AV5" s="7"/>
      <c r="AW5" s="7"/>
      <c r="AX5" s="7"/>
      <c r="AY5" s="7"/>
      <c r="AZ5" s="7"/>
      <c r="BA5" s="7"/>
      <c r="BB5" s="7"/>
    </row>
    <row r="11" spans="16:54" ht="12.75">
      <c r="P11" s="905" t="s">
        <v>23</v>
      </c>
      <c r="Q11" s="905"/>
      <c r="R11" s="1032">
        <f>E13+A29</f>
        <v>4</v>
      </c>
      <c r="S11" s="1032"/>
      <c r="AG11" s="9"/>
      <c r="AH11" s="9"/>
      <c r="AX11" s="905" t="s">
        <v>23</v>
      </c>
      <c r="AY11" s="905"/>
      <c r="AZ11" s="1032">
        <v>4</v>
      </c>
      <c r="BA11" s="1032"/>
      <c r="BB11" s="10"/>
    </row>
    <row r="13" spans="5:51" ht="15.75">
      <c r="E13" s="1032">
        <f>'Design '!J6</f>
        <v>3</v>
      </c>
      <c r="F13" s="1032"/>
      <c r="G13" t="s">
        <v>15</v>
      </c>
      <c r="N13" t="s">
        <v>22</v>
      </c>
      <c r="O13" s="1032">
        <f>'Design '!J53</f>
        <v>3.7</v>
      </c>
      <c r="P13" s="1032"/>
      <c r="Q13" t="s">
        <v>15</v>
      </c>
      <c r="V13" s="1032">
        <f>E13</f>
        <v>3</v>
      </c>
      <c r="W13" s="1032"/>
      <c r="X13" t="s">
        <v>15</v>
      </c>
      <c r="AD13" t="s">
        <v>22</v>
      </c>
      <c r="AF13" s="1032">
        <f>O13</f>
        <v>3.7</v>
      </c>
      <c r="AG13" s="1032"/>
      <c r="AH13" t="s">
        <v>15</v>
      </c>
      <c r="AL13" s="1032">
        <v>3</v>
      </c>
      <c r="AM13" s="1032"/>
      <c r="AN13" t="s">
        <v>15</v>
      </c>
      <c r="AW13" s="1032">
        <v>3.7</v>
      </c>
      <c r="AX13" s="1032"/>
      <c r="AY13" t="s">
        <v>15</v>
      </c>
    </row>
    <row r="19" spans="10:45" ht="12.75">
      <c r="J19" s="9"/>
      <c r="K19" s="9"/>
      <c r="AA19" s="9"/>
      <c r="AB19" s="9"/>
      <c r="AQ19" s="9"/>
      <c r="AR19" s="9"/>
      <c r="AS19" s="9"/>
    </row>
    <row r="20" spans="10:45" ht="12.75">
      <c r="J20" s="899" t="s">
        <v>24</v>
      </c>
      <c r="K20" s="899"/>
      <c r="N20" s="7"/>
      <c r="AA20" s="899" t="s">
        <v>24</v>
      </c>
      <c r="AB20" s="899"/>
      <c r="AD20" s="7"/>
      <c r="AE20" s="7"/>
      <c r="AQ20" s="899" t="s">
        <v>24</v>
      </c>
      <c r="AR20" s="899"/>
      <c r="AS20" s="899"/>
    </row>
    <row r="26" spans="4:38" ht="12.75">
      <c r="D26" s="1043" t="s">
        <v>188</v>
      </c>
      <c r="E26" s="1043"/>
      <c r="F26" s="1043"/>
      <c r="U26" s="1032">
        <v>2.4</v>
      </c>
      <c r="V26" s="1032"/>
      <c r="W26" s="1032"/>
      <c r="AK26" s="1032">
        <f>I33</f>
        <v>2.4</v>
      </c>
      <c r="AL26" s="899"/>
    </row>
    <row r="27" spans="4:49" ht="12.75">
      <c r="D27" s="1032">
        <f>'Design '!P49</f>
        <v>1.2000000000000002</v>
      </c>
      <c r="E27" s="1032"/>
      <c r="F27" s="1032"/>
      <c r="H27" s="899" t="s">
        <v>25</v>
      </c>
      <c r="I27" s="899"/>
      <c r="N27" s="1032">
        <f>'Design '!L51</f>
        <v>0.8999999999999999</v>
      </c>
      <c r="O27" s="1042"/>
      <c r="P27" s="1042"/>
      <c r="U27" s="1032">
        <f>'Design '!AI60</f>
        <v>0</v>
      </c>
      <c r="V27" s="1032"/>
      <c r="W27" s="1032"/>
      <c r="Y27" s="899" t="s">
        <v>25</v>
      </c>
      <c r="Z27" s="899"/>
      <c r="AD27" s="1032">
        <f>'Design '!L51</f>
        <v>0.8999999999999999</v>
      </c>
      <c r="AE27" s="1032"/>
      <c r="AF27" s="1042"/>
      <c r="AG27" s="1042"/>
      <c r="AK27" s="1032">
        <f>D27</f>
        <v>1.2000000000000002</v>
      </c>
      <c r="AL27" s="1032"/>
      <c r="AO27" s="899" t="s">
        <v>25</v>
      </c>
      <c r="AP27" s="899"/>
      <c r="AV27" s="1032">
        <f>AD27</f>
        <v>0.8999999999999999</v>
      </c>
      <c r="AW27" s="1032"/>
    </row>
    <row r="28" spans="3:17" ht="12.75">
      <c r="C28" t="s">
        <v>384</v>
      </c>
      <c r="Q28" t="s">
        <v>385</v>
      </c>
    </row>
    <row r="29" spans="1:51" ht="12.75">
      <c r="A29" s="1032">
        <f>'Data sheet'!H15</f>
        <v>1</v>
      </c>
      <c r="B29" s="1032"/>
      <c r="C29" t="s">
        <v>17</v>
      </c>
      <c r="G29" t="s">
        <v>19</v>
      </c>
      <c r="L29" t="s">
        <v>20</v>
      </c>
      <c r="Q29" t="s">
        <v>18</v>
      </c>
      <c r="T29" t="s">
        <v>17</v>
      </c>
      <c r="X29" t="s">
        <v>19</v>
      </c>
      <c r="AC29" t="s">
        <v>20</v>
      </c>
      <c r="AH29" t="s">
        <v>18</v>
      </c>
      <c r="AI29" s="165"/>
      <c r="AJ29" t="s">
        <v>17</v>
      </c>
      <c r="AN29" t="s">
        <v>19</v>
      </c>
      <c r="AT29" t="s">
        <v>20</v>
      </c>
      <c r="AY29" t="s">
        <v>18</v>
      </c>
    </row>
    <row r="30" spans="15:50" ht="12.75">
      <c r="O30" s="900">
        <f>'Design '!P50</f>
        <v>0.3</v>
      </c>
      <c r="P30" s="900"/>
      <c r="AF30" s="900">
        <v>0.3</v>
      </c>
      <c r="AG30" s="900"/>
      <c r="AW30" s="900">
        <v>0.3</v>
      </c>
      <c r="AX30" s="900"/>
    </row>
    <row r="31" spans="15:50" ht="12.75">
      <c r="O31" s="13"/>
      <c r="P31" s="13"/>
      <c r="AF31" s="13"/>
      <c r="AG31" s="13"/>
      <c r="AW31" s="13"/>
      <c r="AX31" s="13"/>
    </row>
    <row r="32" spans="3:39" ht="12.75" customHeight="1">
      <c r="C32" s="164" t="s">
        <v>16</v>
      </c>
      <c r="T32" s="164" t="s">
        <v>16</v>
      </c>
      <c r="AM32" t="s">
        <v>192</v>
      </c>
    </row>
    <row r="33" spans="7:45" ht="12.75">
      <c r="G33" s="899" t="s">
        <v>14</v>
      </c>
      <c r="H33" s="899"/>
      <c r="I33" s="1032">
        <f>'Design '!J47</f>
        <v>2.4</v>
      </c>
      <c r="J33" s="1032"/>
      <c r="K33" s="1032"/>
      <c r="L33" t="s">
        <v>15</v>
      </c>
      <c r="X33" s="899" t="s">
        <v>14</v>
      </c>
      <c r="Y33" s="899"/>
      <c r="Z33" s="1032">
        <v>2.4</v>
      </c>
      <c r="AA33" s="1032"/>
      <c r="AB33" s="1032"/>
      <c r="AC33" t="s">
        <v>15</v>
      </c>
      <c r="AN33" s="899"/>
      <c r="AO33" s="899"/>
      <c r="AP33" s="165"/>
      <c r="AQ33" s="165"/>
      <c r="AR33" s="165"/>
      <c r="AS33" s="165"/>
    </row>
    <row r="34" spans="19:54" ht="12.75" customHeight="1">
      <c r="S34" s="1039">
        <f>'Design '!N105</f>
        <v>67.54564672035086</v>
      </c>
      <c r="X34" s="1039">
        <f>'Design '!L110</f>
        <v>50.265345210354916</v>
      </c>
      <c r="AB34" s="1039">
        <f>'Design '!L113</f>
        <v>54.5854205878539</v>
      </c>
      <c r="AI34" s="1041">
        <f>'Design '!N107</f>
        <v>32.98504370035898</v>
      </c>
      <c r="AW34" s="899" t="s">
        <v>58</v>
      </c>
      <c r="AX34" s="899"/>
      <c r="BB34" t="s">
        <v>197</v>
      </c>
    </row>
    <row r="35" spans="19:35" ht="12.75">
      <c r="S35" s="1040"/>
      <c r="X35" s="1040"/>
      <c r="AB35" s="1040"/>
      <c r="AI35" s="1041"/>
    </row>
    <row r="36" spans="19:51" ht="12.75" customHeight="1">
      <c r="S36" s="1040"/>
      <c r="X36" s="1040"/>
      <c r="AB36" s="1040"/>
      <c r="AI36" s="1041"/>
      <c r="AJ36" s="88" t="s">
        <v>193</v>
      </c>
      <c r="AO36" t="s">
        <v>191</v>
      </c>
      <c r="AY36" s="27" t="s">
        <v>194</v>
      </c>
    </row>
    <row r="37" spans="24:45" ht="12.75" customHeight="1">
      <c r="X37" s="1036" t="s">
        <v>189</v>
      </c>
      <c r="AB37" s="1036" t="s">
        <v>189</v>
      </c>
      <c r="AP37" t="s">
        <v>196</v>
      </c>
      <c r="AS37" t="s">
        <v>195</v>
      </c>
    </row>
    <row r="38" spans="24:41" ht="12.75">
      <c r="X38" s="1036"/>
      <c r="AB38" s="1036"/>
      <c r="AI38" s="1035">
        <f>S34</f>
        <v>67.54564672035086</v>
      </c>
      <c r="AO38" s="1037">
        <f>X34</f>
        <v>50.265345210354916</v>
      </c>
    </row>
    <row r="39" spans="35:41" ht="12.75">
      <c r="AI39" s="1036"/>
      <c r="AO39" s="1038"/>
    </row>
    <row r="40" spans="35:41" ht="12.75">
      <c r="AI40" s="1036"/>
      <c r="AO40" s="1038"/>
    </row>
    <row r="42" spans="14:15" ht="12.75">
      <c r="N42" s="1032">
        <v>0.2</v>
      </c>
      <c r="O42" s="1032"/>
    </row>
    <row r="43" spans="11:44" ht="12.75">
      <c r="K43" s="670"/>
      <c r="Q43" s="670" t="s">
        <v>62</v>
      </c>
      <c r="R43" t="str">
        <f>'Data sheet'!$B$14</f>
        <v>Surcharge angle</v>
      </c>
      <c r="AR43" s="94"/>
    </row>
    <row r="44" spans="8:44" ht="12.75">
      <c r="H44" s="9" t="s">
        <v>408</v>
      </c>
      <c r="I44" s="9"/>
      <c r="J44" s="9"/>
      <c r="K44" s="9"/>
      <c r="L44" s="9"/>
      <c r="M44" s="9"/>
      <c r="N44" s="9"/>
      <c r="P44" t="s">
        <v>21</v>
      </c>
      <c r="Q44" s="9" t="s">
        <v>409</v>
      </c>
      <c r="R44" s="7"/>
      <c r="S44" s="7"/>
      <c r="T44" s="7"/>
      <c r="U44" s="7"/>
      <c r="V44" s="7"/>
      <c r="W44" s="7"/>
      <c r="X44" s="7"/>
      <c r="Y44" s="7"/>
      <c r="AR44" s="94"/>
    </row>
    <row r="45" spans="8:44" ht="12.75">
      <c r="H45" s="1023">
        <f>Q59</f>
        <v>8</v>
      </c>
      <c r="I45" s="1024"/>
      <c r="J45" s="350" t="s">
        <v>606</v>
      </c>
      <c r="K45" s="350"/>
      <c r="L45" s="663"/>
      <c r="R45" s="9"/>
      <c r="S45" s="9"/>
      <c r="T45" s="9"/>
      <c r="U45" s="9"/>
      <c r="V45" s="9"/>
      <c r="W45" s="9"/>
      <c r="X45" s="9"/>
      <c r="Y45" s="9"/>
      <c r="Z45" s="9"/>
      <c r="AA45" s="9"/>
      <c r="AB45" s="9"/>
      <c r="AR45" s="94"/>
    </row>
    <row r="46" spans="7:44" ht="14.25">
      <c r="G46" s="9"/>
      <c r="H46" s="664" t="s">
        <v>222</v>
      </c>
      <c r="I46" s="908">
        <f>R60</f>
        <v>300</v>
      </c>
      <c r="J46" s="908"/>
      <c r="K46" s="908" t="s">
        <v>378</v>
      </c>
      <c r="L46" s="1031"/>
      <c r="M46" s="9"/>
      <c r="N46" s="9"/>
      <c r="O46" s="9"/>
      <c r="Q46" s="1021">
        <f>Q55</f>
        <v>12</v>
      </c>
      <c r="R46" s="1022"/>
      <c r="S46" s="350" t="s">
        <v>380</v>
      </c>
      <c r="T46" s="350"/>
      <c r="U46" s="663"/>
      <c r="AD46" t="s">
        <v>190</v>
      </c>
      <c r="AR46" s="94"/>
    </row>
    <row r="47" spans="17:58" ht="14.25">
      <c r="Q47" s="665" t="s">
        <v>222</v>
      </c>
      <c r="R47" s="1018">
        <f>R56*2</f>
        <v>360</v>
      </c>
      <c r="S47" s="1018"/>
      <c r="T47" s="183" t="s">
        <v>379</v>
      </c>
      <c r="U47" s="667"/>
      <c r="Y47" s="241"/>
      <c r="Z47" s="241"/>
      <c r="AR47" s="94"/>
      <c r="BB47" s="1023">
        <f>H45</f>
        <v>8</v>
      </c>
      <c r="BC47" s="1024"/>
      <c r="BD47" s="350" t="s">
        <v>380</v>
      </c>
      <c r="BE47" s="350"/>
      <c r="BF47" s="663"/>
    </row>
    <row r="48" spans="44:58" ht="12.75">
      <c r="AR48" s="94"/>
      <c r="BB48" s="665" t="s">
        <v>222</v>
      </c>
      <c r="BC48" s="908">
        <f>I46</f>
        <v>300</v>
      </c>
      <c r="BD48" s="908"/>
      <c r="BE48" s="183" t="s">
        <v>379</v>
      </c>
      <c r="BF48" s="667"/>
    </row>
    <row r="49" spans="3:44" ht="12.75">
      <c r="C49" s="899" t="s">
        <v>23</v>
      </c>
      <c r="D49" s="899"/>
      <c r="E49" s="1032">
        <v>4</v>
      </c>
      <c r="F49" s="1032"/>
      <c r="G49" t="s">
        <v>15</v>
      </c>
      <c r="AD49" s="1026">
        <f>'Design '!J255</f>
        <v>1.94</v>
      </c>
      <c r="AR49" s="94"/>
    </row>
    <row r="50" spans="20:44" ht="14.25">
      <c r="T50" s="241"/>
      <c r="U50" s="241"/>
      <c r="X50" s="1021">
        <f>'Design '!C274</f>
        <v>8</v>
      </c>
      <c r="Y50" s="1022"/>
      <c r="Z50" s="350" t="s">
        <v>606</v>
      </c>
      <c r="AA50" s="350"/>
      <c r="AB50" s="663"/>
      <c r="AD50" s="1027"/>
      <c r="AR50" s="94"/>
    </row>
    <row r="51" spans="24:44" ht="14.25">
      <c r="X51" s="664" t="s">
        <v>222</v>
      </c>
      <c r="Y51" s="1030">
        <f>'Design '!L276</f>
        <v>160</v>
      </c>
      <c r="Z51" s="1018"/>
      <c r="AA51" s="908" t="s">
        <v>378</v>
      </c>
      <c r="AB51" s="1031"/>
      <c r="AR51" s="94"/>
    </row>
    <row r="52" spans="8:44" ht="14.25">
      <c r="H52" s="1023">
        <f>Q59</f>
        <v>8</v>
      </c>
      <c r="I52" s="1024"/>
      <c r="J52" s="350" t="s">
        <v>380</v>
      </c>
      <c r="K52" s="350"/>
      <c r="L52" s="663"/>
      <c r="T52" s="241"/>
      <c r="U52" s="241"/>
      <c r="Y52" s="241"/>
      <c r="Z52" s="241"/>
      <c r="AC52" s="1028">
        <f>'Design '!J242</f>
        <v>2.58</v>
      </c>
      <c r="AR52" s="94"/>
    </row>
    <row r="53" spans="6:44" ht="14.25">
      <c r="F53" s="1032">
        <v>3.7</v>
      </c>
      <c r="G53" s="1032"/>
      <c r="H53" s="665" t="s">
        <v>222</v>
      </c>
      <c r="I53" s="1025">
        <f>'Design '!L276</f>
        <v>160</v>
      </c>
      <c r="J53" s="908"/>
      <c r="K53" s="183" t="s">
        <v>379</v>
      </c>
      <c r="L53" s="666"/>
      <c r="Y53" s="241"/>
      <c r="Z53" s="241"/>
      <c r="AC53" s="1029"/>
      <c r="AR53" s="94"/>
    </row>
    <row r="54" spans="29:58" ht="14.25">
      <c r="AC54" s="1029"/>
      <c r="AR54" s="94"/>
      <c r="BB54" s="1021">
        <f>Q59</f>
        <v>8</v>
      </c>
      <c r="BC54" s="1022"/>
      <c r="BD54" s="350" t="s">
        <v>380</v>
      </c>
      <c r="BE54" s="350"/>
      <c r="BF54" s="663"/>
    </row>
    <row r="55" spans="17:58" ht="14.25">
      <c r="Q55" s="1021">
        <f>H63</f>
        <v>12</v>
      </c>
      <c r="R55" s="1022"/>
      <c r="S55" s="350" t="s">
        <v>606</v>
      </c>
      <c r="T55" s="350"/>
      <c r="U55" s="663"/>
      <c r="Y55" s="241"/>
      <c r="Z55" s="241"/>
      <c r="AR55" s="94"/>
      <c r="BB55" s="665" t="s">
        <v>222</v>
      </c>
      <c r="BC55" s="908">
        <f>R60</f>
        <v>300</v>
      </c>
      <c r="BD55" s="908"/>
      <c r="BE55" s="183" t="s">
        <v>379</v>
      </c>
      <c r="BF55" s="666"/>
    </row>
    <row r="56" spans="17:44" ht="14.25">
      <c r="Q56" s="664" t="s">
        <v>222</v>
      </c>
      <c r="R56" s="1018">
        <f>I64*2</f>
        <v>180</v>
      </c>
      <c r="S56" s="1018"/>
      <c r="T56" s="908" t="s">
        <v>378</v>
      </c>
      <c r="U56" s="1031"/>
      <c r="Y56" s="241"/>
      <c r="Z56" s="241"/>
      <c r="AD56" s="9"/>
      <c r="AR56" s="94"/>
    </row>
    <row r="57" spans="15:44" ht="14.25">
      <c r="O57" s="9"/>
      <c r="T57" s="241"/>
      <c r="U57" s="241"/>
      <c r="Y57" s="241"/>
      <c r="Z57" s="241"/>
      <c r="AD57" s="9"/>
      <c r="AR57" s="94"/>
    </row>
    <row r="58" spans="15:44" ht="12.75">
      <c r="O58" s="9"/>
      <c r="P58" s="7"/>
      <c r="Q58" s="7"/>
      <c r="R58" s="7"/>
      <c r="S58" s="7"/>
      <c r="AD58" s="9"/>
      <c r="AR58" s="94"/>
    </row>
    <row r="59" spans="17:44" ht="14.25">
      <c r="Q59" s="1021">
        <f>'Design '!C274</f>
        <v>8</v>
      </c>
      <c r="R59" s="1022"/>
      <c r="S59" s="350" t="s">
        <v>380</v>
      </c>
      <c r="T59" s="350"/>
      <c r="U59" s="663"/>
      <c r="AR59" s="94"/>
    </row>
    <row r="60" spans="17:44" ht="14.25">
      <c r="Q60" s="665" t="s">
        <v>222</v>
      </c>
      <c r="R60" s="908">
        <f>'Design '!L278</f>
        <v>300</v>
      </c>
      <c r="S60" s="908"/>
      <c r="T60" s="183" t="s">
        <v>379</v>
      </c>
      <c r="U60" s="666"/>
      <c r="Y60" s="241"/>
      <c r="Z60" s="241"/>
      <c r="AR60" s="94"/>
    </row>
    <row r="61" spans="20:44" ht="14.25">
      <c r="T61" s="241"/>
      <c r="U61" s="241"/>
      <c r="Y61" s="241"/>
      <c r="Z61" s="241"/>
      <c r="AR61" s="94"/>
    </row>
    <row r="62" spans="20:44" ht="14.25">
      <c r="T62" s="241"/>
      <c r="U62" s="241"/>
      <c r="Y62" s="241"/>
      <c r="Z62" s="241"/>
      <c r="AR62" s="94"/>
    </row>
    <row r="63" spans="8:44" ht="14.25">
      <c r="H63" s="1021">
        <f>'Design '!C212</f>
        <v>12</v>
      </c>
      <c r="I63" s="1022"/>
      <c r="J63" s="350" t="s">
        <v>606</v>
      </c>
      <c r="K63" s="350"/>
      <c r="L63" s="663"/>
      <c r="AR63" s="94"/>
    </row>
    <row r="64" spans="2:44" ht="14.25">
      <c r="B64" t="s">
        <v>428</v>
      </c>
      <c r="H64" s="664" t="s">
        <v>222</v>
      </c>
      <c r="I64" s="1030">
        <f>'Design '!N214</f>
        <v>90</v>
      </c>
      <c r="J64" s="1018"/>
      <c r="K64" s="908" t="s">
        <v>378</v>
      </c>
      <c r="L64" s="1031"/>
      <c r="Y64" s="241"/>
      <c r="Z64" s="241"/>
      <c r="AR64" s="94"/>
    </row>
    <row r="65" spans="20:44" ht="14.25">
      <c r="T65" s="241"/>
      <c r="U65" s="241"/>
      <c r="AR65" s="94"/>
    </row>
    <row r="66" spans="8:44" ht="15">
      <c r="H66" s="1033">
        <f>'Design '!C188</f>
        <v>8</v>
      </c>
      <c r="I66" s="1034"/>
      <c r="J66" s="350" t="s">
        <v>380</v>
      </c>
      <c r="K66" s="350"/>
      <c r="L66" s="663"/>
      <c r="T66" s="1021">
        <f>'Design '!C180</f>
        <v>10</v>
      </c>
      <c r="U66" s="1022"/>
      <c r="V66" s="350" t="s">
        <v>606</v>
      </c>
      <c r="W66" s="350"/>
      <c r="X66" s="663"/>
      <c r="AR66" s="94"/>
    </row>
    <row r="67" spans="8:44" ht="14.25">
      <c r="H67" s="665" t="s">
        <v>222</v>
      </c>
      <c r="I67" s="1030">
        <f>'Design '!N190</f>
        <v>170</v>
      </c>
      <c r="J67" s="1018"/>
      <c r="K67" s="183" t="s">
        <v>379</v>
      </c>
      <c r="L67" s="666"/>
      <c r="M67" s="9"/>
      <c r="N67" s="9"/>
      <c r="P67" s="10"/>
      <c r="Q67" s="10"/>
      <c r="R67" s="10"/>
      <c r="S67" s="10"/>
      <c r="T67" s="668" t="s">
        <v>222</v>
      </c>
      <c r="U67" s="1030">
        <f>'Design '!N182</f>
        <v>210</v>
      </c>
      <c r="V67" s="1018"/>
      <c r="W67" s="908" t="s">
        <v>378</v>
      </c>
      <c r="X67" s="1031"/>
      <c r="AR67" s="94"/>
    </row>
    <row r="68" spans="2:44" ht="12.75">
      <c r="B68" s="1020" t="e">
        <f>'Design '!#REF!*1000</f>
        <v>#REF!</v>
      </c>
      <c r="N68" s="1019">
        <f>'Design '!R61</f>
        <v>310</v>
      </c>
      <c r="O68" s="899"/>
      <c r="AR68" s="94"/>
    </row>
    <row r="69" spans="2:52" ht="12.75">
      <c r="B69" s="1020"/>
      <c r="C69" s="1032"/>
      <c r="D69" s="1032"/>
      <c r="F69" t="s">
        <v>399</v>
      </c>
      <c r="W69" t="s">
        <v>16</v>
      </c>
      <c r="AF69" s="899" t="s">
        <v>408</v>
      </c>
      <c r="AG69" s="899"/>
      <c r="AH69" s="899"/>
      <c r="AI69" s="899"/>
      <c r="AJ69" s="899"/>
      <c r="AK69" s="899"/>
      <c r="AL69" s="899"/>
      <c r="AM69" s="899"/>
      <c r="AN69" s="899"/>
      <c r="AO69" s="899"/>
      <c r="AP69" s="899"/>
      <c r="AQ69" s="899"/>
      <c r="AR69" s="191"/>
      <c r="AS69" s="899" t="s">
        <v>409</v>
      </c>
      <c r="AT69" s="899"/>
      <c r="AU69" s="899"/>
      <c r="AV69" s="899"/>
      <c r="AW69" s="899"/>
      <c r="AX69" s="899"/>
      <c r="AY69" s="899"/>
      <c r="AZ69" s="899"/>
    </row>
    <row r="70" spans="2:45" ht="12.75">
      <c r="B70" s="1020"/>
      <c r="K70" s="9"/>
      <c r="L70" s="9"/>
      <c r="AH70" t="s">
        <v>407</v>
      </c>
      <c r="AS70" t="s">
        <v>407</v>
      </c>
    </row>
    <row r="71" spans="2:25" ht="12.75">
      <c r="B71" s="1020"/>
      <c r="C71" s="1019">
        <f>X71</f>
        <v>200</v>
      </c>
      <c r="D71" s="1019"/>
      <c r="Q71" s="899"/>
      <c r="R71" s="899"/>
      <c r="U71" s="13"/>
      <c r="V71" s="13"/>
      <c r="X71" s="1019">
        <f>'Design '!F129</f>
        <v>200</v>
      </c>
      <c r="Y71" s="899"/>
    </row>
    <row r="72" spans="7:31" ht="12.75">
      <c r="G72" s="168"/>
      <c r="H72" s="168"/>
      <c r="I72" s="164"/>
      <c r="Z72" s="183" t="s">
        <v>429</v>
      </c>
      <c r="AA72" s="183"/>
      <c r="AB72" s="183"/>
      <c r="AC72" s="183"/>
      <c r="AD72" s="183"/>
      <c r="AE72" s="183"/>
    </row>
    <row r="73" spans="12:16" ht="12.75">
      <c r="L73" s="9"/>
      <c r="M73" s="9"/>
      <c r="N73" s="9"/>
      <c r="O73" s="9"/>
      <c r="P73" s="9"/>
    </row>
    <row r="74" spans="7:24" ht="12.75">
      <c r="G74" s="1023">
        <f>'Design '!C136</f>
        <v>12</v>
      </c>
      <c r="H74" s="1024"/>
      <c r="I74" s="350" t="s">
        <v>380</v>
      </c>
      <c r="J74" s="350"/>
      <c r="K74" s="663"/>
      <c r="Q74" s="920">
        <f>'Design '!F284</f>
        <v>300</v>
      </c>
      <c r="R74" s="920"/>
      <c r="T74" s="1023">
        <f>'Design '!C188</f>
        <v>8</v>
      </c>
      <c r="U74" s="1024"/>
      <c r="V74" s="350" t="s">
        <v>380</v>
      </c>
      <c r="W74" s="350"/>
      <c r="X74" s="663"/>
    </row>
    <row r="75" spans="7:37" ht="12.75">
      <c r="G75" s="665" t="s">
        <v>222</v>
      </c>
      <c r="H75" s="1025">
        <f>'Design '!J139</f>
        <v>120</v>
      </c>
      <c r="I75" s="908"/>
      <c r="J75" s="183" t="s">
        <v>379</v>
      </c>
      <c r="K75" s="666"/>
      <c r="T75" s="665" t="s">
        <v>222</v>
      </c>
      <c r="U75" s="1025">
        <f>'Design '!N190</f>
        <v>170</v>
      </c>
      <c r="V75" s="908"/>
      <c r="W75" s="183" t="s">
        <v>379</v>
      </c>
      <c r="X75" s="666"/>
      <c r="AK75" t="s">
        <v>190</v>
      </c>
    </row>
    <row r="76" spans="8:21" ht="12.75">
      <c r="H76" s="1019">
        <f>'Data sheet'!P21</f>
        <v>1200.0000000000002</v>
      </c>
      <c r="I76" s="1019"/>
      <c r="J76" s="1019"/>
      <c r="S76" s="1019">
        <f>'Data sheet'!X21</f>
        <v>899.9999999999999</v>
      </c>
      <c r="T76" s="1019"/>
      <c r="U76" s="1019"/>
    </row>
    <row r="77" spans="13:16" ht="12.75">
      <c r="M77" s="1019">
        <f>'Design '!H284</f>
        <v>310</v>
      </c>
      <c r="N77" s="899"/>
      <c r="O77" s="899"/>
      <c r="P77" s="899"/>
    </row>
  </sheetData>
  <sheetProtection/>
  <mergeCells count="95">
    <mergeCell ref="AS69:AZ69"/>
    <mergeCell ref="BB47:BC47"/>
    <mergeCell ref="BC48:BD48"/>
    <mergeCell ref="BB54:BC54"/>
    <mergeCell ref="BC55:BD55"/>
    <mergeCell ref="AF69:AQ69"/>
    <mergeCell ref="Z33:AB33"/>
    <mergeCell ref="R47:S47"/>
    <mergeCell ref="K64:L64"/>
    <mergeCell ref="T56:U56"/>
    <mergeCell ref="Q55:R55"/>
    <mergeCell ref="Q59:R59"/>
    <mergeCell ref="N68:O68"/>
    <mergeCell ref="K46:L46"/>
    <mergeCell ref="N42:O42"/>
    <mergeCell ref="A29:B29"/>
    <mergeCell ref="D27:F27"/>
    <mergeCell ref="D26:F26"/>
    <mergeCell ref="J20:K20"/>
    <mergeCell ref="AL13:AM13"/>
    <mergeCell ref="AW13:AX13"/>
    <mergeCell ref="I1:J1"/>
    <mergeCell ref="E13:F13"/>
    <mergeCell ref="O13:P13"/>
    <mergeCell ref="R11:S11"/>
    <mergeCell ref="P11:Q11"/>
    <mergeCell ref="Z1:AA1"/>
    <mergeCell ref="V13:W13"/>
    <mergeCell ref="AF13:AG13"/>
    <mergeCell ref="AV27:AW27"/>
    <mergeCell ref="AP1:AQ1"/>
    <mergeCell ref="AX11:AY11"/>
    <mergeCell ref="AZ11:BA11"/>
    <mergeCell ref="G33:H33"/>
    <mergeCell ref="X34:X36"/>
    <mergeCell ref="I33:K33"/>
    <mergeCell ref="AQ20:AS20"/>
    <mergeCell ref="AO27:AP27"/>
    <mergeCell ref="AN33:AO33"/>
    <mergeCell ref="H27:I27"/>
    <mergeCell ref="N27:P27"/>
    <mergeCell ref="U27:W27"/>
    <mergeCell ref="U26:W26"/>
    <mergeCell ref="AW30:AX30"/>
    <mergeCell ref="O30:P30"/>
    <mergeCell ref="AF30:AG30"/>
    <mergeCell ref="X33:Y33"/>
    <mergeCell ref="H45:I45"/>
    <mergeCell ref="I46:J46"/>
    <mergeCell ref="X37:X38"/>
    <mergeCell ref="AB37:AB38"/>
    <mergeCell ref="S34:S36"/>
    <mergeCell ref="Q46:R46"/>
    <mergeCell ref="AA20:AB20"/>
    <mergeCell ref="AK26:AL26"/>
    <mergeCell ref="AK27:AL27"/>
    <mergeCell ref="Y27:Z27"/>
    <mergeCell ref="AD27:AG27"/>
    <mergeCell ref="AW34:AX34"/>
    <mergeCell ref="AI38:AI40"/>
    <mergeCell ref="AO38:AO40"/>
    <mergeCell ref="AB34:AB36"/>
    <mergeCell ref="AI34:AI36"/>
    <mergeCell ref="E49:F49"/>
    <mergeCell ref="C49:D49"/>
    <mergeCell ref="I67:J67"/>
    <mergeCell ref="C69:D69"/>
    <mergeCell ref="F53:G53"/>
    <mergeCell ref="H52:I52"/>
    <mergeCell ref="H66:I66"/>
    <mergeCell ref="I53:J53"/>
    <mergeCell ref="H63:I63"/>
    <mergeCell ref="I64:J64"/>
    <mergeCell ref="AD49:AD50"/>
    <mergeCell ref="AC52:AC54"/>
    <mergeCell ref="G74:H74"/>
    <mergeCell ref="U67:V67"/>
    <mergeCell ref="W67:X67"/>
    <mergeCell ref="X50:Y50"/>
    <mergeCell ref="Y51:Z51"/>
    <mergeCell ref="AA51:AB51"/>
    <mergeCell ref="X71:Y71"/>
    <mergeCell ref="Q74:R74"/>
    <mergeCell ref="M77:P77"/>
    <mergeCell ref="C71:D71"/>
    <mergeCell ref="T74:U74"/>
    <mergeCell ref="U75:V75"/>
    <mergeCell ref="Q71:R71"/>
    <mergeCell ref="H75:I75"/>
    <mergeCell ref="R56:S56"/>
    <mergeCell ref="S76:U76"/>
    <mergeCell ref="H76:J76"/>
    <mergeCell ref="B68:B71"/>
    <mergeCell ref="R60:S60"/>
    <mergeCell ref="T66:U66"/>
  </mergeCells>
  <printOptions/>
  <pageMargins left="0.71" right="0.33" top="0.75" bottom="0.5"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36"/>
  </sheetPr>
  <dimension ref="A1:T355"/>
  <sheetViews>
    <sheetView showGridLines="0" tabSelected="1" workbookViewId="0" topLeftCell="E55">
      <selection activeCell="E52" sqref="E52:H72"/>
    </sheetView>
  </sheetViews>
  <sheetFormatPr defaultColWidth="9.140625" defaultRowHeight="15" customHeight="1"/>
  <cols>
    <col min="10" max="10" width="2.57421875" style="0" customWidth="1"/>
    <col min="11" max="11" width="14.7109375" style="0" customWidth="1"/>
    <col min="12" max="12" width="6.7109375" style="0" customWidth="1"/>
    <col min="13" max="13" width="8.00390625" style="0" customWidth="1"/>
    <col min="14" max="14" width="7.57421875" style="0" customWidth="1"/>
    <col min="15" max="15" width="7.00390625" style="0" customWidth="1"/>
    <col min="18" max="18" width="8.00390625" style="0" customWidth="1"/>
    <col min="19" max="19" width="7.57421875" style="0" customWidth="1"/>
  </cols>
  <sheetData>
    <row r="1" spans="1:20" ht="15" customHeight="1">
      <c r="A1" s="186">
        <v>64</v>
      </c>
      <c r="B1" s="186">
        <v>64</v>
      </c>
      <c r="C1" s="186">
        <v>64</v>
      </c>
      <c r="D1" s="186">
        <v>64</v>
      </c>
      <c r="E1" s="186">
        <v>64</v>
      </c>
      <c r="F1" s="186">
        <v>64</v>
      </c>
      <c r="G1" s="186">
        <v>64</v>
      </c>
      <c r="H1" s="186">
        <v>64</v>
      </c>
      <c r="I1" s="186">
        <v>64</v>
      </c>
      <c r="J1" s="186">
        <v>64</v>
      </c>
      <c r="K1" s="186">
        <v>110</v>
      </c>
      <c r="L1" s="186">
        <v>64</v>
      </c>
      <c r="M1" s="186">
        <v>64</v>
      </c>
      <c r="N1" s="186">
        <v>64</v>
      </c>
      <c r="O1" s="186">
        <v>64</v>
      </c>
      <c r="P1" s="186">
        <v>64</v>
      </c>
      <c r="Q1" s="186">
        <v>64</v>
      </c>
      <c r="R1" s="186">
        <v>64</v>
      </c>
      <c r="S1" s="186">
        <v>64</v>
      </c>
      <c r="T1" s="186">
        <v>64</v>
      </c>
    </row>
    <row r="2" spans="1:20" ht="15" customHeight="1">
      <c r="A2" s="6"/>
      <c r="B2" s="6"/>
      <c r="C2" s="6"/>
      <c r="D2" s="6"/>
      <c r="E2" s="6"/>
      <c r="F2" s="6"/>
      <c r="G2" s="6"/>
      <c r="H2" s="6"/>
      <c r="I2" s="6"/>
      <c r="J2" s="6"/>
      <c r="K2" s="6"/>
      <c r="L2" s="6"/>
      <c r="M2" s="6"/>
      <c r="N2" s="6"/>
      <c r="O2" s="6"/>
      <c r="P2" s="6"/>
      <c r="Q2" s="6"/>
      <c r="R2" s="6"/>
      <c r="S2" s="6"/>
      <c r="T2" s="6"/>
    </row>
    <row r="3" spans="1:20" ht="15" customHeight="1">
      <c r="A3" s="1044" t="s">
        <v>343</v>
      </c>
      <c r="B3" s="1044"/>
      <c r="C3" s="1044"/>
      <c r="D3" s="1044"/>
      <c r="E3" s="1044"/>
      <c r="F3" s="1044"/>
      <c r="G3" s="1044"/>
      <c r="H3" s="1044"/>
      <c r="I3" s="1044"/>
      <c r="K3" s="1045" t="s">
        <v>224</v>
      </c>
      <c r="L3" s="1046"/>
      <c r="M3" s="1046"/>
      <c r="N3" s="1046"/>
      <c r="O3" s="1046"/>
      <c r="P3" s="1046"/>
      <c r="Q3" s="1046"/>
      <c r="R3" s="1046"/>
      <c r="S3" s="142"/>
      <c r="T3" s="142"/>
    </row>
    <row r="4" spans="1:20" ht="15" customHeight="1">
      <c r="A4" s="1044"/>
      <c r="B4" s="1044"/>
      <c r="C4" s="1044"/>
      <c r="D4" s="1044"/>
      <c r="E4" s="1044"/>
      <c r="F4" s="1044"/>
      <c r="G4" s="1044"/>
      <c r="H4" s="1044"/>
      <c r="I4" s="1044"/>
      <c r="K4" s="1124" t="s">
        <v>351</v>
      </c>
      <c r="L4" s="1125"/>
      <c r="M4" s="1047" t="s">
        <v>225</v>
      </c>
      <c r="N4" s="1048"/>
      <c r="O4" s="1048"/>
      <c r="P4" s="1048"/>
      <c r="Q4" s="1048"/>
      <c r="R4" s="1048"/>
      <c r="S4" s="142"/>
      <c r="T4" s="142"/>
    </row>
    <row r="5" spans="1:20" ht="15" customHeight="1">
      <c r="A5" s="1051" t="s">
        <v>226</v>
      </c>
      <c r="B5" s="1052"/>
      <c r="C5" s="262" t="s">
        <v>227</v>
      </c>
      <c r="D5" s="262" t="s">
        <v>228</v>
      </c>
      <c r="E5" s="262" t="s">
        <v>229</v>
      </c>
      <c r="F5" s="262" t="s">
        <v>230</v>
      </c>
      <c r="G5" s="262" t="s">
        <v>231</v>
      </c>
      <c r="H5" s="262" t="s">
        <v>232</v>
      </c>
      <c r="I5" s="262" t="s">
        <v>233</v>
      </c>
      <c r="K5" s="1126" t="s">
        <v>61</v>
      </c>
      <c r="L5" s="1127"/>
      <c r="M5" s="243" t="s">
        <v>228</v>
      </c>
      <c r="N5" s="244" t="s">
        <v>229</v>
      </c>
      <c r="O5" s="244" t="s">
        <v>230</v>
      </c>
      <c r="P5" s="244" t="s">
        <v>231</v>
      </c>
      <c r="Q5" s="244" t="s">
        <v>232</v>
      </c>
      <c r="R5" s="244" t="s">
        <v>233</v>
      </c>
      <c r="S5" s="142" t="s">
        <v>154</v>
      </c>
      <c r="T5" s="364" t="s">
        <v>60</v>
      </c>
    </row>
    <row r="6" spans="1:20" ht="15" customHeight="1">
      <c r="A6" s="1053" t="s">
        <v>234</v>
      </c>
      <c r="B6" s="1053"/>
      <c r="C6" s="1054">
        <v>1.2</v>
      </c>
      <c r="D6" s="1055">
        <v>2</v>
      </c>
      <c r="E6" s="1054">
        <v>2.8</v>
      </c>
      <c r="F6" s="1054">
        <v>3.2</v>
      </c>
      <c r="G6" s="1054">
        <v>3.6</v>
      </c>
      <c r="H6" s="1055">
        <v>4</v>
      </c>
      <c r="I6" s="1054">
        <v>4.4</v>
      </c>
      <c r="K6" s="451">
        <v>0.15</v>
      </c>
      <c r="L6" s="364" t="s">
        <v>60</v>
      </c>
      <c r="M6" s="242">
        <v>0.18</v>
      </c>
      <c r="N6" s="242">
        <v>0.18</v>
      </c>
      <c r="O6" s="242">
        <v>0.19</v>
      </c>
      <c r="P6" s="245">
        <v>0.2</v>
      </c>
      <c r="Q6" s="245">
        <v>0.2</v>
      </c>
      <c r="R6" s="245">
        <v>0.2</v>
      </c>
      <c r="S6" s="142"/>
      <c r="T6" s="364" t="s">
        <v>60</v>
      </c>
    </row>
    <row r="7" spans="1:20" ht="15" customHeight="1">
      <c r="A7" s="1053"/>
      <c r="B7" s="1053"/>
      <c r="C7" s="1054"/>
      <c r="D7" s="1055"/>
      <c r="E7" s="1054"/>
      <c r="F7" s="1054"/>
      <c r="G7" s="1054"/>
      <c r="H7" s="1055"/>
      <c r="I7" s="1054"/>
      <c r="K7" s="557">
        <v>0.25</v>
      </c>
      <c r="L7" s="364" t="s">
        <v>60</v>
      </c>
      <c r="M7" s="245">
        <v>0.22</v>
      </c>
      <c r="N7" s="245">
        <v>0.22</v>
      </c>
      <c r="O7" s="245">
        <v>0.23</v>
      </c>
      <c r="P7" s="245">
        <v>0.23</v>
      </c>
      <c r="Q7" s="245">
        <v>0.23</v>
      </c>
      <c r="R7" s="245">
        <v>0.23</v>
      </c>
      <c r="S7" s="142"/>
      <c r="T7" s="364" t="s">
        <v>60</v>
      </c>
    </row>
    <row r="8" spans="11:20" ht="15" customHeight="1">
      <c r="K8" s="557">
        <v>0.5</v>
      </c>
      <c r="L8" s="364" t="s">
        <v>60</v>
      </c>
      <c r="M8" s="245">
        <v>0.29</v>
      </c>
      <c r="N8" s="245">
        <v>0.3</v>
      </c>
      <c r="O8" s="245">
        <v>0.31</v>
      </c>
      <c r="P8" s="245">
        <v>0.31</v>
      </c>
      <c r="Q8" s="245">
        <v>0.31</v>
      </c>
      <c r="R8" s="245">
        <v>0.32</v>
      </c>
      <c r="S8" s="142"/>
      <c r="T8" s="364" t="s">
        <v>60</v>
      </c>
    </row>
    <row r="9" spans="1:20" ht="15" customHeight="1">
      <c r="A9" s="1049" t="s">
        <v>235</v>
      </c>
      <c r="B9" s="1050"/>
      <c r="C9" s="1050"/>
      <c r="D9" s="1050"/>
      <c r="E9" s="1050"/>
      <c r="F9" s="1050"/>
      <c r="G9" s="1050"/>
      <c r="H9" s="1050"/>
      <c r="I9" s="1050"/>
      <c r="K9" s="557">
        <v>0.75</v>
      </c>
      <c r="L9" s="364" t="s">
        <v>60</v>
      </c>
      <c r="M9" s="245">
        <v>0.34</v>
      </c>
      <c r="N9" s="245">
        <v>0.35</v>
      </c>
      <c r="O9" s="245">
        <v>0.36</v>
      </c>
      <c r="P9" s="245">
        <v>0.37</v>
      </c>
      <c r="Q9" s="245">
        <v>0.37</v>
      </c>
      <c r="R9" s="245">
        <v>0.38</v>
      </c>
      <c r="S9" s="142"/>
      <c r="T9" s="364" t="s">
        <v>60</v>
      </c>
    </row>
    <row r="10" spans="1:20" ht="15" customHeight="1">
      <c r="A10" s="1060" t="s">
        <v>226</v>
      </c>
      <c r="B10" s="1063" t="s">
        <v>236</v>
      </c>
      <c r="C10" s="1063"/>
      <c r="D10" s="1063"/>
      <c r="E10" s="1063"/>
      <c r="F10" s="1064" t="s">
        <v>237</v>
      </c>
      <c r="G10" s="1065"/>
      <c r="H10" s="1065"/>
      <c r="I10" s="1066"/>
      <c r="K10" s="557">
        <v>1</v>
      </c>
      <c r="L10" s="364" t="s">
        <v>60</v>
      </c>
      <c r="M10" s="245">
        <v>0.37</v>
      </c>
      <c r="N10" s="245">
        <v>0.39</v>
      </c>
      <c r="O10" s="245">
        <v>0.4</v>
      </c>
      <c r="P10" s="245">
        <v>0.41</v>
      </c>
      <c r="Q10" s="245">
        <v>0.42</v>
      </c>
      <c r="R10" s="245">
        <v>0.42</v>
      </c>
      <c r="S10" s="142"/>
      <c r="T10" s="364" t="s">
        <v>60</v>
      </c>
    </row>
    <row r="11" spans="1:20" ht="15" customHeight="1">
      <c r="A11" s="1061"/>
      <c r="B11" s="1070" t="s">
        <v>238</v>
      </c>
      <c r="C11" s="1071"/>
      <c r="D11" s="1072" t="s">
        <v>239</v>
      </c>
      <c r="E11" s="1073"/>
      <c r="F11" s="1067"/>
      <c r="G11" s="1068"/>
      <c r="H11" s="1068"/>
      <c r="I11" s="1069"/>
      <c r="K11" s="557">
        <v>1.25</v>
      </c>
      <c r="L11" s="364" t="s">
        <v>60</v>
      </c>
      <c r="M11" s="245">
        <v>0.4</v>
      </c>
      <c r="N11" s="245">
        <v>0.42</v>
      </c>
      <c r="O11" s="245">
        <v>0.44</v>
      </c>
      <c r="P11" s="245">
        <v>0.45</v>
      </c>
      <c r="Q11" s="245">
        <v>0.45</v>
      </c>
      <c r="R11" s="245">
        <v>0.46</v>
      </c>
      <c r="S11" s="142"/>
      <c r="T11" s="364" t="s">
        <v>60</v>
      </c>
    </row>
    <row r="12" spans="1:20" ht="15" customHeight="1">
      <c r="A12" s="1062"/>
      <c r="B12" s="264" t="s">
        <v>240</v>
      </c>
      <c r="C12" s="263" t="s">
        <v>241</v>
      </c>
      <c r="D12" s="265" t="s">
        <v>240</v>
      </c>
      <c r="E12" s="263" t="s">
        <v>241</v>
      </c>
      <c r="F12" s="1074" t="s">
        <v>240</v>
      </c>
      <c r="G12" s="1075"/>
      <c r="H12" s="1074" t="s">
        <v>242</v>
      </c>
      <c r="I12" s="1075"/>
      <c r="K12" s="557">
        <v>1.5</v>
      </c>
      <c r="L12" s="364" t="s">
        <v>60</v>
      </c>
      <c r="M12" s="245">
        <v>0.42</v>
      </c>
      <c r="N12" s="245">
        <v>0.45</v>
      </c>
      <c r="O12" s="245">
        <v>0.46</v>
      </c>
      <c r="P12" s="245">
        <v>0.48</v>
      </c>
      <c r="Q12" s="245">
        <v>0.49</v>
      </c>
      <c r="R12" s="245">
        <v>0.49</v>
      </c>
      <c r="S12" s="142"/>
      <c r="T12" s="364" t="s">
        <v>60</v>
      </c>
    </row>
    <row r="13" spans="1:20" ht="15" customHeight="1">
      <c r="A13" s="263" t="s">
        <v>243</v>
      </c>
      <c r="B13" s="266">
        <v>3</v>
      </c>
      <c r="C13" s="267">
        <f>B13*100</f>
        <v>300</v>
      </c>
      <c r="D13" s="266">
        <v>2.5</v>
      </c>
      <c r="E13" s="267">
        <f>D13*100</f>
        <v>250</v>
      </c>
      <c r="F13" s="1076" t="s">
        <v>244</v>
      </c>
      <c r="G13" s="1077"/>
      <c r="H13" s="1076" t="s">
        <v>244</v>
      </c>
      <c r="I13" s="1078"/>
      <c r="J13" s="28"/>
      <c r="K13" s="557">
        <v>1.75</v>
      </c>
      <c r="L13" s="364" t="s">
        <v>60</v>
      </c>
      <c r="M13" s="245">
        <v>0.44</v>
      </c>
      <c r="N13" s="245">
        <v>0.47</v>
      </c>
      <c r="O13" s="245">
        <v>0.49</v>
      </c>
      <c r="P13" s="245">
        <v>0.5</v>
      </c>
      <c r="Q13" s="245">
        <v>0.52</v>
      </c>
      <c r="R13" s="245">
        <v>0.52</v>
      </c>
      <c r="S13" s="142"/>
      <c r="T13" s="364" t="s">
        <v>60</v>
      </c>
    </row>
    <row r="14" spans="1:20" ht="15" customHeight="1">
      <c r="A14" s="263" t="s">
        <v>245</v>
      </c>
      <c r="B14" s="266">
        <v>5</v>
      </c>
      <c r="C14" s="267">
        <f aca="true" t="shared" si="0" ref="C14:C21">B14*100</f>
        <v>500</v>
      </c>
      <c r="D14" s="266">
        <v>4</v>
      </c>
      <c r="E14" s="267">
        <f aca="true" t="shared" si="1" ref="E14:E21">D14*100</f>
        <v>400</v>
      </c>
      <c r="F14" s="1079">
        <v>0.6</v>
      </c>
      <c r="G14" s="1080"/>
      <c r="H14" s="1081">
        <f>F14*100</f>
        <v>60</v>
      </c>
      <c r="I14" s="1082"/>
      <c r="J14" s="12"/>
      <c r="K14" s="557">
        <v>2</v>
      </c>
      <c r="L14" s="364" t="s">
        <v>60</v>
      </c>
      <c r="M14" s="245">
        <v>0.44</v>
      </c>
      <c r="N14" s="245">
        <v>0.49</v>
      </c>
      <c r="O14" s="245">
        <v>0.51</v>
      </c>
      <c r="P14" s="245">
        <v>0.53</v>
      </c>
      <c r="Q14" s="245">
        <v>0.54</v>
      </c>
      <c r="R14" s="245">
        <v>0.55</v>
      </c>
      <c r="S14" s="142"/>
      <c r="T14" s="364" t="s">
        <v>60</v>
      </c>
    </row>
    <row r="15" spans="1:20" ht="15" customHeight="1">
      <c r="A15" s="263" t="s">
        <v>246</v>
      </c>
      <c r="B15" s="266">
        <v>7</v>
      </c>
      <c r="C15" s="267">
        <f t="shared" si="0"/>
        <v>700</v>
      </c>
      <c r="D15" s="266">
        <v>5</v>
      </c>
      <c r="E15" s="267">
        <f t="shared" si="1"/>
        <v>500</v>
      </c>
      <c r="F15" s="1079">
        <v>0.8</v>
      </c>
      <c r="G15" s="1080"/>
      <c r="H15" s="1081">
        <f aca="true" t="shared" si="2" ref="H15:H21">F15*100</f>
        <v>80</v>
      </c>
      <c r="I15" s="1082"/>
      <c r="J15" s="12"/>
      <c r="K15" s="557">
        <v>2.25</v>
      </c>
      <c r="L15" s="364" t="s">
        <v>60</v>
      </c>
      <c r="M15" s="245">
        <v>0.44</v>
      </c>
      <c r="N15" s="245">
        <v>0.51</v>
      </c>
      <c r="O15" s="245">
        <v>0.53</v>
      </c>
      <c r="P15" s="245">
        <v>0.55</v>
      </c>
      <c r="Q15" s="245">
        <v>0.56</v>
      </c>
      <c r="R15" s="246">
        <v>0.57</v>
      </c>
      <c r="S15" s="142"/>
      <c r="T15" s="364" t="s">
        <v>60</v>
      </c>
    </row>
    <row r="16" spans="1:20" ht="15" customHeight="1">
      <c r="A16" s="263" t="s">
        <v>247</v>
      </c>
      <c r="B16" s="266">
        <v>8.5</v>
      </c>
      <c r="C16" s="267">
        <f t="shared" si="0"/>
        <v>850</v>
      </c>
      <c r="D16" s="266">
        <v>6</v>
      </c>
      <c r="E16" s="267">
        <f t="shared" si="1"/>
        <v>600</v>
      </c>
      <c r="F16" s="1079">
        <v>0.9</v>
      </c>
      <c r="G16" s="1080"/>
      <c r="H16" s="1081">
        <f t="shared" si="2"/>
        <v>90</v>
      </c>
      <c r="I16" s="1082"/>
      <c r="J16" s="12"/>
      <c r="K16" s="557">
        <v>2.5</v>
      </c>
      <c r="L16" s="364" t="s">
        <v>60</v>
      </c>
      <c r="M16" s="245">
        <v>0.44</v>
      </c>
      <c r="N16" s="245">
        <v>0.51</v>
      </c>
      <c r="O16" s="245">
        <v>0.55</v>
      </c>
      <c r="P16" s="245">
        <v>0.57</v>
      </c>
      <c r="Q16" s="245">
        <v>0.58</v>
      </c>
      <c r="R16" s="245">
        <v>0.6</v>
      </c>
      <c r="S16" s="142"/>
      <c r="T16" s="364" t="s">
        <v>60</v>
      </c>
    </row>
    <row r="17" spans="1:20" ht="15" customHeight="1">
      <c r="A17" s="263" t="s">
        <v>248</v>
      </c>
      <c r="B17" s="266">
        <v>10</v>
      </c>
      <c r="C17" s="267">
        <f t="shared" si="0"/>
        <v>1000</v>
      </c>
      <c r="D17" s="266">
        <v>8</v>
      </c>
      <c r="E17" s="267">
        <f t="shared" si="1"/>
        <v>800</v>
      </c>
      <c r="F17" s="1079">
        <v>1</v>
      </c>
      <c r="G17" s="1080"/>
      <c r="H17" s="1081">
        <f t="shared" si="2"/>
        <v>100</v>
      </c>
      <c r="I17" s="1082"/>
      <c r="J17" s="12"/>
      <c r="K17" s="557">
        <v>2.75</v>
      </c>
      <c r="L17" s="364" t="s">
        <v>60</v>
      </c>
      <c r="M17" s="245">
        <v>0.44</v>
      </c>
      <c r="N17" s="245">
        <v>0.51</v>
      </c>
      <c r="O17" s="245">
        <v>0.56</v>
      </c>
      <c r="P17" s="245">
        <v>0.58</v>
      </c>
      <c r="Q17" s="245">
        <v>0.6</v>
      </c>
      <c r="R17" s="245">
        <v>0.62</v>
      </c>
      <c r="S17" s="142"/>
      <c r="T17" s="142"/>
    </row>
    <row r="18" spans="1:20" ht="15" customHeight="1">
      <c r="A18" s="263" t="s">
        <v>249</v>
      </c>
      <c r="B18" s="266">
        <v>11.5</v>
      </c>
      <c r="C18" s="267">
        <f t="shared" si="0"/>
        <v>1150</v>
      </c>
      <c r="D18" s="266">
        <v>9</v>
      </c>
      <c r="E18" s="267">
        <f t="shared" si="1"/>
        <v>900</v>
      </c>
      <c r="F18" s="1079">
        <v>1.1</v>
      </c>
      <c r="G18" s="1080"/>
      <c r="H18" s="1081">
        <f t="shared" si="2"/>
        <v>110.00000000000001</v>
      </c>
      <c r="I18" s="1082"/>
      <c r="K18" s="365" t="s">
        <v>250</v>
      </c>
      <c r="L18" s="364" t="s">
        <v>60</v>
      </c>
      <c r="M18" s="242">
        <v>0.44</v>
      </c>
      <c r="N18" s="242">
        <v>0.51</v>
      </c>
      <c r="O18" s="242">
        <v>0.57</v>
      </c>
      <c r="P18" s="242">
        <v>0.6</v>
      </c>
      <c r="Q18" s="242">
        <v>0.62</v>
      </c>
      <c r="R18" s="242">
        <v>0.63</v>
      </c>
      <c r="S18" s="142"/>
      <c r="T18" s="142"/>
    </row>
    <row r="19" spans="1:20" ht="15" customHeight="1">
      <c r="A19" s="263" t="s">
        <v>251</v>
      </c>
      <c r="B19" s="266">
        <v>13</v>
      </c>
      <c r="C19" s="267">
        <f t="shared" si="0"/>
        <v>1300</v>
      </c>
      <c r="D19" s="266">
        <v>10</v>
      </c>
      <c r="E19" s="267">
        <f t="shared" si="1"/>
        <v>1000</v>
      </c>
      <c r="F19" s="1079">
        <v>1.2</v>
      </c>
      <c r="G19" s="1080"/>
      <c r="H19" s="1081">
        <f t="shared" si="2"/>
        <v>120</v>
      </c>
      <c r="I19" s="1082"/>
      <c r="S19" s="142"/>
      <c r="T19" s="142"/>
    </row>
    <row r="20" spans="1:20" ht="15" customHeight="1">
      <c r="A20" s="263" t="s">
        <v>252</v>
      </c>
      <c r="B20" s="266">
        <v>14.5</v>
      </c>
      <c r="C20" s="267">
        <f t="shared" si="0"/>
        <v>1450</v>
      </c>
      <c r="D20" s="266">
        <v>11</v>
      </c>
      <c r="E20" s="267">
        <f t="shared" si="1"/>
        <v>1100</v>
      </c>
      <c r="F20" s="1079">
        <v>1.3</v>
      </c>
      <c r="G20" s="1080"/>
      <c r="H20" s="1081">
        <f t="shared" si="2"/>
        <v>130</v>
      </c>
      <c r="I20" s="1082"/>
      <c r="K20" s="1083" t="s">
        <v>344</v>
      </c>
      <c r="L20" s="1084"/>
      <c r="M20" s="1084"/>
      <c r="N20" s="1084"/>
      <c r="O20" s="1084"/>
      <c r="P20" s="1084"/>
      <c r="Q20" s="1084"/>
      <c r="R20" s="1084"/>
      <c r="S20" s="1085"/>
      <c r="T20" s="142"/>
    </row>
    <row r="21" spans="1:20" ht="15" customHeight="1">
      <c r="A21" s="263" t="s">
        <v>253</v>
      </c>
      <c r="B21" s="268">
        <v>16</v>
      </c>
      <c r="C21" s="267">
        <f t="shared" si="0"/>
        <v>1600</v>
      </c>
      <c r="D21" s="268">
        <v>12</v>
      </c>
      <c r="E21" s="267">
        <f t="shared" si="1"/>
        <v>1200</v>
      </c>
      <c r="F21" s="1089">
        <v>1.4</v>
      </c>
      <c r="G21" s="1090"/>
      <c r="H21" s="1081">
        <f t="shared" si="2"/>
        <v>140</v>
      </c>
      <c r="I21" s="1082"/>
      <c r="K21" s="1086"/>
      <c r="L21" s="1087"/>
      <c r="M21" s="1087"/>
      <c r="N21" s="1087"/>
      <c r="O21" s="1087"/>
      <c r="P21" s="1087"/>
      <c r="Q21" s="1087"/>
      <c r="R21" s="1087"/>
      <c r="S21" s="1088"/>
      <c r="T21" s="142"/>
    </row>
    <row r="22" spans="1:20" ht="15" customHeight="1">
      <c r="A22" s="217"/>
      <c r="B22" s="217"/>
      <c r="C22" s="217"/>
      <c r="D22" s="217"/>
      <c r="E22" s="217"/>
      <c r="F22" s="217"/>
      <c r="G22" s="217"/>
      <c r="H22" s="217"/>
      <c r="I22" s="217"/>
      <c r="K22" s="1091" t="s">
        <v>254</v>
      </c>
      <c r="L22" s="1092"/>
      <c r="M22" s="248" t="s">
        <v>387</v>
      </c>
      <c r="N22" s="249">
        <v>275</v>
      </c>
      <c r="O22" s="249">
        <v>250</v>
      </c>
      <c r="P22" s="249">
        <v>225</v>
      </c>
      <c r="Q22" s="249">
        <v>200</v>
      </c>
      <c r="R22" s="249">
        <v>175</v>
      </c>
      <c r="S22" s="250" t="s">
        <v>255</v>
      </c>
      <c r="T22" s="142"/>
    </row>
    <row r="23" spans="1:20" ht="15" customHeight="1">
      <c r="A23" s="1093" t="s">
        <v>345</v>
      </c>
      <c r="B23" s="1093"/>
      <c r="C23" s="1093"/>
      <c r="D23" s="1093"/>
      <c r="E23" s="1093"/>
      <c r="F23" s="1093"/>
      <c r="G23" s="1093"/>
      <c r="H23" s="1093"/>
      <c r="I23" s="1093"/>
      <c r="K23" s="1094" t="s">
        <v>256</v>
      </c>
      <c r="L23" s="1095"/>
      <c r="M23" s="251">
        <v>1</v>
      </c>
      <c r="N23" s="251">
        <v>1.05</v>
      </c>
      <c r="O23" s="251">
        <v>1.1</v>
      </c>
      <c r="P23" s="251">
        <v>1.15</v>
      </c>
      <c r="Q23" s="251">
        <v>1.2</v>
      </c>
      <c r="R23" s="251">
        <v>1.25</v>
      </c>
      <c r="S23" s="252">
        <v>1.3</v>
      </c>
      <c r="T23" s="142"/>
    </row>
    <row r="24" spans="1:20" ht="15" customHeight="1">
      <c r="A24" s="1093"/>
      <c r="B24" s="1093"/>
      <c r="C24" s="1093"/>
      <c r="D24" s="1093"/>
      <c r="E24" s="1093"/>
      <c r="F24" s="1093"/>
      <c r="G24" s="1093"/>
      <c r="H24" s="1093"/>
      <c r="I24" s="1093"/>
      <c r="K24" s="142"/>
      <c r="L24" s="142"/>
      <c r="M24" s="142"/>
      <c r="N24" s="142"/>
      <c r="O24" s="142"/>
      <c r="P24" s="142"/>
      <c r="Q24" s="142"/>
      <c r="R24" s="142"/>
      <c r="S24" s="142"/>
      <c r="T24" s="142"/>
    </row>
    <row r="25" spans="1:20" ht="15" customHeight="1">
      <c r="A25" s="1096" t="s">
        <v>226</v>
      </c>
      <c r="B25" s="1097"/>
      <c r="C25" s="269" t="s">
        <v>227</v>
      </c>
      <c r="D25" s="269" t="s">
        <v>228</v>
      </c>
      <c r="E25" s="269" t="s">
        <v>229</v>
      </c>
      <c r="F25" s="269" t="s">
        <v>230</v>
      </c>
      <c r="G25" s="269" t="s">
        <v>231</v>
      </c>
      <c r="H25" s="269" t="s">
        <v>232</v>
      </c>
      <c r="I25" s="269" t="s">
        <v>233</v>
      </c>
      <c r="K25" s="1098" t="s">
        <v>257</v>
      </c>
      <c r="L25" s="1099"/>
      <c r="M25" s="1099"/>
      <c r="N25" s="1099"/>
      <c r="O25" s="1099"/>
      <c r="P25" s="1099"/>
      <c r="Q25" s="1099"/>
      <c r="R25" s="1100"/>
      <c r="T25" s="142"/>
    </row>
    <row r="26" spans="1:20" ht="15" customHeight="1">
      <c r="A26" s="1104" t="s">
        <v>258</v>
      </c>
      <c r="B26" s="1104"/>
      <c r="C26" s="1105" t="s">
        <v>259</v>
      </c>
      <c r="D26" s="1105" t="s">
        <v>260</v>
      </c>
      <c r="E26" s="1105" t="s">
        <v>261</v>
      </c>
      <c r="F26" s="1105" t="s">
        <v>262</v>
      </c>
      <c r="G26" s="1105" t="s">
        <v>263</v>
      </c>
      <c r="H26" s="1105" t="s">
        <v>264</v>
      </c>
      <c r="I26" s="1105" t="s">
        <v>265</v>
      </c>
      <c r="K26" s="1101"/>
      <c r="L26" s="1102"/>
      <c r="M26" s="1102"/>
      <c r="N26" s="1102"/>
      <c r="O26" s="1102"/>
      <c r="P26" s="1102"/>
      <c r="Q26" s="1102"/>
      <c r="R26" s="1103"/>
      <c r="T26" s="142"/>
    </row>
    <row r="27" spans="1:20" ht="15" customHeight="1">
      <c r="A27" s="1104"/>
      <c r="B27" s="1104"/>
      <c r="C27" s="1105"/>
      <c r="D27" s="1105"/>
      <c r="E27" s="1105"/>
      <c r="F27" s="1105"/>
      <c r="G27" s="1105"/>
      <c r="H27" s="1105"/>
      <c r="I27" s="1105"/>
      <c r="K27" s="1106" t="s">
        <v>226</v>
      </c>
      <c r="L27" s="1107"/>
      <c r="M27" s="253" t="s">
        <v>228</v>
      </c>
      <c r="N27" s="254" t="s">
        <v>229</v>
      </c>
      <c r="O27" s="254" t="s">
        <v>230</v>
      </c>
      <c r="P27" s="254" t="s">
        <v>231</v>
      </c>
      <c r="Q27" s="254" t="s">
        <v>232</v>
      </c>
      <c r="R27" s="254" t="s">
        <v>233</v>
      </c>
      <c r="T27" s="142"/>
    </row>
    <row r="28" spans="11:20" ht="15" customHeight="1">
      <c r="K28" s="1108" t="s">
        <v>266</v>
      </c>
      <c r="L28" s="1109"/>
      <c r="M28" s="254">
        <v>1.6</v>
      </c>
      <c r="N28" s="254">
        <v>1.8</v>
      </c>
      <c r="O28" s="254">
        <v>1.9</v>
      </c>
      <c r="P28" s="254">
        <v>2.2</v>
      </c>
      <c r="Q28" s="254">
        <v>2.3</v>
      </c>
      <c r="R28" s="254">
        <v>2.5</v>
      </c>
      <c r="T28" s="142"/>
    </row>
    <row r="29" spans="1:20" ht="15" customHeight="1">
      <c r="A29" s="1134" t="s">
        <v>346</v>
      </c>
      <c r="B29" s="1135"/>
      <c r="C29" s="1135"/>
      <c r="D29" s="1135"/>
      <c r="E29" s="1135"/>
      <c r="F29" s="1135"/>
      <c r="G29" s="1135"/>
      <c r="H29" s="1136"/>
      <c r="S29" s="142"/>
      <c r="T29" s="142"/>
    </row>
    <row r="30" spans="1:20" ht="15" customHeight="1">
      <c r="A30" s="270" t="s">
        <v>226</v>
      </c>
      <c r="B30" s="270"/>
      <c r="C30" s="271" t="s">
        <v>228</v>
      </c>
      <c r="D30" s="271" t="s">
        <v>229</v>
      </c>
      <c r="E30" s="271" t="s">
        <v>230</v>
      </c>
      <c r="F30" s="271" t="s">
        <v>231</v>
      </c>
      <c r="G30" s="271" t="s">
        <v>232</v>
      </c>
      <c r="H30" s="271" t="s">
        <v>233</v>
      </c>
      <c r="K30" s="1137" t="s">
        <v>267</v>
      </c>
      <c r="L30" s="1138"/>
      <c r="M30" s="1138"/>
      <c r="N30" s="1138"/>
      <c r="O30" s="1138"/>
      <c r="P30" s="1138"/>
      <c r="Q30" s="1138"/>
      <c r="R30" s="1138"/>
      <c r="S30" s="1138"/>
      <c r="T30" s="1139"/>
    </row>
    <row r="31" spans="1:20" ht="15" customHeight="1">
      <c r="A31" s="270" t="s">
        <v>268</v>
      </c>
      <c r="B31" s="270"/>
      <c r="C31" s="271">
        <v>18.67</v>
      </c>
      <c r="D31" s="271">
        <v>13.33</v>
      </c>
      <c r="E31" s="271">
        <v>10.98</v>
      </c>
      <c r="F31" s="271">
        <v>9.33</v>
      </c>
      <c r="G31" s="271">
        <v>8.11</v>
      </c>
      <c r="H31" s="271">
        <v>7.18</v>
      </c>
      <c r="K31" s="255" t="s">
        <v>226</v>
      </c>
      <c r="L31" s="256" t="s">
        <v>227</v>
      </c>
      <c r="M31" s="257" t="s">
        <v>228</v>
      </c>
      <c r="N31" s="256" t="s">
        <v>229</v>
      </c>
      <c r="O31" s="256" t="s">
        <v>230</v>
      </c>
      <c r="P31" s="256" t="s">
        <v>231</v>
      </c>
      <c r="Q31" s="256" t="s">
        <v>232</v>
      </c>
      <c r="R31" s="256" t="s">
        <v>233</v>
      </c>
      <c r="S31" s="256" t="s">
        <v>269</v>
      </c>
      <c r="T31" s="256" t="s">
        <v>270</v>
      </c>
    </row>
    <row r="32" spans="1:20" ht="15" customHeight="1">
      <c r="A32" s="272" t="s">
        <v>271</v>
      </c>
      <c r="B32" s="270"/>
      <c r="C32" s="271">
        <v>5</v>
      </c>
      <c r="D32" s="271">
        <v>7</v>
      </c>
      <c r="E32" s="271">
        <v>8.5</v>
      </c>
      <c r="F32" s="271">
        <v>10</v>
      </c>
      <c r="G32" s="271">
        <v>11.5</v>
      </c>
      <c r="H32" s="271">
        <v>13</v>
      </c>
      <c r="J32" s="7"/>
      <c r="K32" s="258" t="s">
        <v>272</v>
      </c>
      <c r="L32" s="259" t="s">
        <v>244</v>
      </c>
      <c r="M32" s="256">
        <v>0.6</v>
      </c>
      <c r="N32" s="256">
        <v>0.8</v>
      </c>
      <c r="O32" s="256">
        <v>0.9</v>
      </c>
      <c r="P32" s="256">
        <v>1</v>
      </c>
      <c r="Q32" s="256">
        <v>1.1</v>
      </c>
      <c r="R32" s="256">
        <v>1.2</v>
      </c>
      <c r="S32" s="256">
        <v>1.3</v>
      </c>
      <c r="T32" s="256">
        <v>1.4</v>
      </c>
    </row>
    <row r="33" spans="1:20" ht="15" customHeight="1">
      <c r="A33" s="270" t="s">
        <v>273</v>
      </c>
      <c r="B33" s="270"/>
      <c r="C33" s="271">
        <v>93.33</v>
      </c>
      <c r="D33" s="271">
        <v>93.33</v>
      </c>
      <c r="E33" s="271">
        <v>93.33</v>
      </c>
      <c r="F33" s="271">
        <v>93.33</v>
      </c>
      <c r="G33" s="271">
        <v>93.33</v>
      </c>
      <c r="H33" s="271">
        <v>93.33</v>
      </c>
      <c r="J33" s="7"/>
      <c r="T33" s="142"/>
    </row>
    <row r="34" spans="1:20" ht="15" customHeight="1">
      <c r="A34" s="1131" t="s">
        <v>274</v>
      </c>
      <c r="B34" s="273" t="s">
        <v>275</v>
      </c>
      <c r="C34" s="271">
        <v>0.4</v>
      </c>
      <c r="D34" s="271">
        <v>0.4</v>
      </c>
      <c r="E34" s="271">
        <v>0.4</v>
      </c>
      <c r="F34" s="271">
        <v>0.4</v>
      </c>
      <c r="G34" s="271">
        <v>0.4</v>
      </c>
      <c r="H34" s="271">
        <v>0.4</v>
      </c>
      <c r="J34" s="7"/>
      <c r="K34" s="1110" t="s">
        <v>276</v>
      </c>
      <c r="L34" s="1111"/>
      <c r="M34" s="1111"/>
      <c r="N34" s="1111"/>
      <c r="O34" s="1111"/>
      <c r="P34" s="1111"/>
      <c r="Q34" s="1111"/>
      <c r="R34" s="1111"/>
      <c r="S34" s="1112"/>
      <c r="T34" s="142"/>
    </row>
    <row r="35" spans="1:20" ht="15" customHeight="1">
      <c r="A35" s="1132"/>
      <c r="B35" s="273" t="s">
        <v>277</v>
      </c>
      <c r="C35" s="271">
        <v>0.867</v>
      </c>
      <c r="D35" s="271">
        <v>0.867</v>
      </c>
      <c r="E35" s="271">
        <v>0.867</v>
      </c>
      <c r="F35" s="271">
        <v>0.867</v>
      </c>
      <c r="G35" s="271">
        <v>0.867</v>
      </c>
      <c r="H35" s="271">
        <v>0.867</v>
      </c>
      <c r="K35" s="1113"/>
      <c r="L35" s="1114"/>
      <c r="M35" s="1114"/>
      <c r="N35" s="1114"/>
      <c r="O35" s="1114"/>
      <c r="P35" s="1114"/>
      <c r="Q35" s="1114"/>
      <c r="R35" s="1114"/>
      <c r="S35" s="1115"/>
      <c r="T35" s="142"/>
    </row>
    <row r="36" spans="1:19" ht="15" customHeight="1">
      <c r="A36" s="1132"/>
      <c r="B36" s="273" t="s">
        <v>278</v>
      </c>
      <c r="C36" s="271">
        <v>0.867</v>
      </c>
      <c r="D36" s="271">
        <v>1.214</v>
      </c>
      <c r="E36" s="271">
        <v>1.474</v>
      </c>
      <c r="F36" s="271">
        <v>1.734</v>
      </c>
      <c r="G36" s="271">
        <v>1.994</v>
      </c>
      <c r="H36" s="271">
        <v>2.254</v>
      </c>
      <c r="K36" s="1116" t="s">
        <v>226</v>
      </c>
      <c r="L36" s="1118" t="s">
        <v>279</v>
      </c>
      <c r="M36" s="1119"/>
      <c r="N36" s="1119"/>
      <c r="O36" s="1120"/>
      <c r="P36" s="1118" t="s">
        <v>280</v>
      </c>
      <c r="Q36" s="1119"/>
      <c r="R36" s="1119"/>
      <c r="S36" s="1120"/>
    </row>
    <row r="37" spans="1:19" ht="15" customHeight="1">
      <c r="A37" s="1133"/>
      <c r="B37" s="273" t="s">
        <v>281</v>
      </c>
      <c r="C37" s="271">
        <v>0.714</v>
      </c>
      <c r="D37" s="271">
        <v>1</v>
      </c>
      <c r="E37" s="271">
        <v>1.214</v>
      </c>
      <c r="F37" s="271">
        <v>1.429</v>
      </c>
      <c r="G37" s="271">
        <v>1.643</v>
      </c>
      <c r="H37" s="271">
        <v>1.857</v>
      </c>
      <c r="K37" s="1117"/>
      <c r="L37" s="260" t="s">
        <v>282</v>
      </c>
      <c r="M37" s="261"/>
      <c r="N37" s="1118" t="s">
        <v>283</v>
      </c>
      <c r="O37" s="1120"/>
      <c r="P37" s="260" t="s">
        <v>282</v>
      </c>
      <c r="Q37" s="261"/>
      <c r="R37" s="1118" t="s">
        <v>283</v>
      </c>
      <c r="S37" s="1120"/>
    </row>
    <row r="38" spans="1:19" ht="15" customHeight="1">
      <c r="A38" s="1131" t="s">
        <v>284</v>
      </c>
      <c r="B38" s="273" t="s">
        <v>275</v>
      </c>
      <c r="C38" s="274">
        <v>0.329</v>
      </c>
      <c r="D38" s="271">
        <v>0.329</v>
      </c>
      <c r="E38" s="271">
        <v>0.329</v>
      </c>
      <c r="F38" s="271">
        <v>0.329</v>
      </c>
      <c r="G38" s="271">
        <v>0.329</v>
      </c>
      <c r="H38" s="271">
        <v>0.329</v>
      </c>
      <c r="K38" s="261" t="s">
        <v>285</v>
      </c>
      <c r="L38" s="1118">
        <v>0.6</v>
      </c>
      <c r="M38" s="1120"/>
      <c r="N38" s="1118">
        <v>58</v>
      </c>
      <c r="O38" s="1120"/>
      <c r="P38" s="1118">
        <v>0.96</v>
      </c>
      <c r="Q38" s="1120"/>
      <c r="R38" s="1118">
        <v>60</v>
      </c>
      <c r="S38" s="1120"/>
    </row>
    <row r="39" spans="1:20" ht="15" customHeight="1">
      <c r="A39" s="1132"/>
      <c r="B39" s="273" t="s">
        <v>277</v>
      </c>
      <c r="C39" s="275">
        <v>0.89</v>
      </c>
      <c r="D39" s="271">
        <v>0.89</v>
      </c>
      <c r="E39" s="271">
        <v>0.89</v>
      </c>
      <c r="F39" s="271">
        <v>0.89</v>
      </c>
      <c r="G39" s="271">
        <v>0.89</v>
      </c>
      <c r="H39" s="271">
        <v>0.89</v>
      </c>
      <c r="K39" s="261" t="s">
        <v>286</v>
      </c>
      <c r="L39" s="1121">
        <v>0.8</v>
      </c>
      <c r="M39" s="1121"/>
      <c r="N39" s="1121">
        <v>44</v>
      </c>
      <c r="O39" s="1121"/>
      <c r="P39" s="1121">
        <v>1.28</v>
      </c>
      <c r="Q39" s="1121"/>
      <c r="R39" s="1121">
        <v>45</v>
      </c>
      <c r="S39" s="1121"/>
      <c r="T39" s="37"/>
    </row>
    <row r="40" spans="1:20" ht="15" customHeight="1">
      <c r="A40" s="1132"/>
      <c r="B40" s="273" t="s">
        <v>278</v>
      </c>
      <c r="C40" s="271">
        <v>0.732</v>
      </c>
      <c r="D40" s="271">
        <v>1.025</v>
      </c>
      <c r="E40" s="271">
        <v>1.244</v>
      </c>
      <c r="F40" s="271">
        <v>1.464</v>
      </c>
      <c r="G40" s="271">
        <v>1.684</v>
      </c>
      <c r="H40" s="271">
        <v>1.903</v>
      </c>
      <c r="K40" s="261" t="s">
        <v>287</v>
      </c>
      <c r="L40" s="1121">
        <v>0.9</v>
      </c>
      <c r="M40" s="1121"/>
      <c r="N40" s="1121">
        <v>39</v>
      </c>
      <c r="O40" s="1121"/>
      <c r="P40" s="1121">
        <v>1.44</v>
      </c>
      <c r="Q40" s="1121"/>
      <c r="R40" s="1121">
        <v>40</v>
      </c>
      <c r="S40" s="1121"/>
      <c r="T40" s="37"/>
    </row>
    <row r="41" spans="1:20" ht="15" customHeight="1">
      <c r="A41" s="1133"/>
      <c r="B41" s="273" t="s">
        <v>281</v>
      </c>
      <c r="C41" s="271">
        <v>0.433</v>
      </c>
      <c r="D41" s="271">
        <v>0.606</v>
      </c>
      <c r="E41" s="271">
        <v>0.736</v>
      </c>
      <c r="F41" s="271">
        <v>0.866</v>
      </c>
      <c r="G41" s="271">
        <v>0.997</v>
      </c>
      <c r="H41" s="271">
        <v>1.127</v>
      </c>
      <c r="K41" s="261" t="s">
        <v>288</v>
      </c>
      <c r="L41" s="1121">
        <v>1</v>
      </c>
      <c r="M41" s="1121"/>
      <c r="N41" s="1121">
        <v>35</v>
      </c>
      <c r="O41" s="1121"/>
      <c r="P41" s="1121">
        <v>1.6</v>
      </c>
      <c r="Q41" s="1121"/>
      <c r="R41" s="1121">
        <v>36</v>
      </c>
      <c r="S41" s="1121"/>
      <c r="T41" s="188"/>
    </row>
    <row r="42" spans="1:20" ht="15" customHeight="1">
      <c r="A42" s="1128" t="s">
        <v>289</v>
      </c>
      <c r="B42" s="273" t="s">
        <v>275</v>
      </c>
      <c r="C42" s="271">
        <v>0.289</v>
      </c>
      <c r="D42" s="271">
        <v>0.289</v>
      </c>
      <c r="E42" s="271">
        <v>0.289</v>
      </c>
      <c r="F42" s="271">
        <v>0.289</v>
      </c>
      <c r="G42" s="271">
        <v>0.289</v>
      </c>
      <c r="H42" s="271">
        <v>0.289</v>
      </c>
      <c r="K42" s="261" t="s">
        <v>290</v>
      </c>
      <c r="L42" s="1121">
        <v>1.1</v>
      </c>
      <c r="M42" s="1121"/>
      <c r="N42" s="1121">
        <v>32</v>
      </c>
      <c r="O42" s="1121"/>
      <c r="P42" s="1121">
        <v>1.76</v>
      </c>
      <c r="Q42" s="1121"/>
      <c r="R42" s="1121">
        <v>33</v>
      </c>
      <c r="S42" s="1121"/>
      <c r="T42" s="188"/>
    </row>
    <row r="43" spans="1:20" ht="15" customHeight="1">
      <c r="A43" s="1129"/>
      <c r="B43" s="273" t="s">
        <v>277</v>
      </c>
      <c r="C43" s="271">
        <v>0.904</v>
      </c>
      <c r="D43" s="271">
        <v>0.904</v>
      </c>
      <c r="E43" s="271">
        <v>0.904</v>
      </c>
      <c r="F43" s="271">
        <v>0.904</v>
      </c>
      <c r="G43" s="271">
        <v>0.904</v>
      </c>
      <c r="H43" s="271">
        <v>0.904</v>
      </c>
      <c r="K43" s="261" t="s">
        <v>291</v>
      </c>
      <c r="L43" s="1121">
        <v>1.2</v>
      </c>
      <c r="M43" s="1121"/>
      <c r="N43" s="1121">
        <v>29</v>
      </c>
      <c r="O43" s="1121"/>
      <c r="P43" s="1121">
        <v>1.92</v>
      </c>
      <c r="Q43" s="1121"/>
      <c r="R43" s="1121">
        <v>30</v>
      </c>
      <c r="S43" s="1121"/>
      <c r="T43" s="37"/>
    </row>
    <row r="44" spans="1:20" ht="15" customHeight="1">
      <c r="A44" s="1129"/>
      <c r="B44" s="273" t="s">
        <v>278</v>
      </c>
      <c r="C44" s="271">
        <v>0.653</v>
      </c>
      <c r="D44" s="271">
        <v>0.914</v>
      </c>
      <c r="E44" s="271">
        <v>1.11</v>
      </c>
      <c r="F44" s="271">
        <v>1.306</v>
      </c>
      <c r="G44" s="271">
        <v>1.502</v>
      </c>
      <c r="H44" s="271">
        <v>1.698</v>
      </c>
      <c r="K44" s="261" t="s">
        <v>292</v>
      </c>
      <c r="L44" s="1121">
        <v>1.3</v>
      </c>
      <c r="M44" s="1121"/>
      <c r="N44" s="1121">
        <v>27</v>
      </c>
      <c r="O44" s="1121"/>
      <c r="P44" s="1121">
        <v>2.08</v>
      </c>
      <c r="Q44" s="1121"/>
      <c r="R44" s="1121">
        <v>28</v>
      </c>
      <c r="S44" s="1121"/>
      <c r="T44" s="37"/>
    </row>
    <row r="45" spans="1:20" ht="15" customHeight="1">
      <c r="A45" s="1130"/>
      <c r="B45" s="273" t="s">
        <v>281</v>
      </c>
      <c r="C45" s="271">
        <v>0.314</v>
      </c>
      <c r="D45" s="271">
        <v>0.44</v>
      </c>
      <c r="E45" s="271">
        <v>0.534</v>
      </c>
      <c r="F45" s="271">
        <v>0.628</v>
      </c>
      <c r="G45" s="271">
        <v>0.722</v>
      </c>
      <c r="H45" s="271">
        <v>0.816</v>
      </c>
      <c r="K45" s="261" t="s">
        <v>293</v>
      </c>
      <c r="L45" s="1121">
        <v>1.4</v>
      </c>
      <c r="M45" s="1121"/>
      <c r="N45" s="1121">
        <v>25</v>
      </c>
      <c r="O45" s="1121"/>
      <c r="P45" s="1121">
        <v>2.24</v>
      </c>
      <c r="Q45" s="1121"/>
      <c r="R45" s="1121">
        <v>26</v>
      </c>
      <c r="S45" s="1121"/>
      <c r="T45" s="37"/>
    </row>
    <row r="46" spans="1:20" ht="15" customHeight="1">
      <c r="A46" s="1128" t="s">
        <v>294</v>
      </c>
      <c r="B46" s="273" t="s">
        <v>275</v>
      </c>
      <c r="C46" s="271">
        <v>0.253</v>
      </c>
      <c r="D46" s="271">
        <v>0.253</v>
      </c>
      <c r="E46" s="271">
        <v>0.253</v>
      </c>
      <c r="F46" s="271">
        <v>0.253</v>
      </c>
      <c r="G46" s="271">
        <v>0.253</v>
      </c>
      <c r="H46" s="271">
        <v>0.253</v>
      </c>
      <c r="T46" s="37"/>
    </row>
    <row r="47" spans="1:20" ht="15" customHeight="1">
      <c r="A47" s="1129"/>
      <c r="B47" s="273" t="s">
        <v>277</v>
      </c>
      <c r="C47" s="271">
        <v>0.916</v>
      </c>
      <c r="D47" s="271">
        <v>0.916</v>
      </c>
      <c r="E47" s="271">
        <v>0.916</v>
      </c>
      <c r="F47" s="271">
        <v>0.914</v>
      </c>
      <c r="G47" s="271">
        <v>0.916</v>
      </c>
      <c r="H47" s="271">
        <v>0.916</v>
      </c>
      <c r="T47" s="37"/>
    </row>
    <row r="48" spans="1:20" ht="15" customHeight="1">
      <c r="A48" s="1129"/>
      <c r="B48" s="273" t="s">
        <v>278</v>
      </c>
      <c r="C48" s="271">
        <v>0.579</v>
      </c>
      <c r="D48" s="271">
        <v>0.811</v>
      </c>
      <c r="E48" s="271">
        <v>0.985</v>
      </c>
      <c r="F48" s="271">
        <v>1.159</v>
      </c>
      <c r="G48" s="271">
        <v>1.332</v>
      </c>
      <c r="H48" s="271">
        <v>1.506</v>
      </c>
      <c r="T48" s="37"/>
    </row>
    <row r="49" spans="1:20" ht="15" customHeight="1">
      <c r="A49" s="1130"/>
      <c r="B49" s="273" t="s">
        <v>281</v>
      </c>
      <c r="C49" s="271">
        <v>0.23</v>
      </c>
      <c r="D49" s="271">
        <v>0.322</v>
      </c>
      <c r="E49" s="271">
        <v>0.391</v>
      </c>
      <c r="F49" s="271">
        <v>0.46</v>
      </c>
      <c r="G49" s="271">
        <v>0.53</v>
      </c>
      <c r="H49" s="271">
        <v>0.599</v>
      </c>
      <c r="T49" s="37"/>
    </row>
    <row r="50" spans="1:20" ht="15" customHeight="1">
      <c r="A50" s="467"/>
      <c r="B50" s="468"/>
      <c r="C50" s="224"/>
      <c r="D50" s="224"/>
      <c r="E50" s="224"/>
      <c r="F50" s="224"/>
      <c r="G50" s="224"/>
      <c r="H50" s="224"/>
      <c r="I50" s="217"/>
      <c r="T50" s="37"/>
    </row>
    <row r="51" spans="1:20" ht="15" customHeight="1">
      <c r="A51" s="1122" t="s">
        <v>604</v>
      </c>
      <c r="B51" s="1123"/>
      <c r="C51" s="1056" t="s">
        <v>605</v>
      </c>
      <c r="D51" s="1057"/>
      <c r="E51" s="217"/>
      <c r="F51" s="217"/>
      <c r="G51" s="217"/>
      <c r="H51" s="217"/>
      <c r="I51" s="217"/>
      <c r="T51" s="37"/>
    </row>
    <row r="52" spans="1:20" ht="15" customHeight="1">
      <c r="A52" s="425" t="s">
        <v>351</v>
      </c>
      <c r="B52" s="1058" t="s">
        <v>229</v>
      </c>
      <c r="C52" s="1058" t="s">
        <v>229</v>
      </c>
      <c r="D52" s="594" t="s">
        <v>351</v>
      </c>
      <c r="E52" s="978" t="s">
        <v>444</v>
      </c>
      <c r="F52" s="979"/>
      <c r="G52" s="979"/>
      <c r="H52" s="980"/>
      <c r="T52" s="37"/>
    </row>
    <row r="53" spans="1:20" ht="15" customHeight="1">
      <c r="A53" s="424" t="s">
        <v>61</v>
      </c>
      <c r="B53" s="1059"/>
      <c r="C53" s="1059"/>
      <c r="D53" s="595" t="s">
        <v>61</v>
      </c>
      <c r="E53" s="101" t="s">
        <v>80</v>
      </c>
      <c r="F53" s="102" t="s">
        <v>445</v>
      </c>
      <c r="G53" s="102" t="s">
        <v>446</v>
      </c>
      <c r="H53" s="102" t="s">
        <v>447</v>
      </c>
      <c r="T53" s="37"/>
    </row>
    <row r="54" spans="1:8" ht="15" customHeight="1">
      <c r="A54" s="469">
        <v>0.15</v>
      </c>
      <c r="B54" s="470">
        <v>0.18</v>
      </c>
      <c r="C54" s="470">
        <v>0.18</v>
      </c>
      <c r="D54" s="596">
        <v>0.15</v>
      </c>
      <c r="E54" s="101" t="s">
        <v>448</v>
      </c>
      <c r="F54" s="338">
        <v>0.1736</v>
      </c>
      <c r="G54" s="338">
        <v>0.9848</v>
      </c>
      <c r="H54" s="338">
        <v>0.1763</v>
      </c>
    </row>
    <row r="55" spans="1:8" ht="15" customHeight="1">
      <c r="A55" s="463">
        <v>0.16</v>
      </c>
      <c r="B55" s="242">
        <v>0.18</v>
      </c>
      <c r="C55" s="242">
        <v>0.19</v>
      </c>
      <c r="D55" s="597">
        <v>0.18</v>
      </c>
      <c r="E55" s="101" t="s">
        <v>449</v>
      </c>
      <c r="F55" s="338">
        <v>0.2588</v>
      </c>
      <c r="G55" s="338">
        <v>0.9659</v>
      </c>
      <c r="H55" s="338">
        <v>0.2679</v>
      </c>
    </row>
    <row r="56" spans="1:8" ht="15" customHeight="1">
      <c r="A56" s="463">
        <v>0.17</v>
      </c>
      <c r="B56" s="242">
        <v>0.18</v>
      </c>
      <c r="C56" s="242">
        <v>0.2</v>
      </c>
      <c r="D56" s="597">
        <v>0.21</v>
      </c>
      <c r="E56" s="101" t="s">
        <v>450</v>
      </c>
      <c r="F56" s="338">
        <v>0.2756</v>
      </c>
      <c r="G56" s="338">
        <v>0.9612</v>
      </c>
      <c r="H56" s="338">
        <v>0.2867</v>
      </c>
    </row>
    <row r="57" spans="1:8" ht="15" customHeight="1">
      <c r="A57" s="463">
        <v>0.18</v>
      </c>
      <c r="B57" s="242">
        <v>0.19</v>
      </c>
      <c r="C57" s="242">
        <v>0.21</v>
      </c>
      <c r="D57" s="597">
        <v>0.24</v>
      </c>
      <c r="E57" s="101" t="s">
        <v>451</v>
      </c>
      <c r="F57" s="338">
        <v>0.2923</v>
      </c>
      <c r="G57" s="338">
        <v>0.9563</v>
      </c>
      <c r="H57" s="338">
        <v>0.3057</v>
      </c>
    </row>
    <row r="58" spans="1:8" ht="15" customHeight="1">
      <c r="A58" s="463">
        <v>0.19</v>
      </c>
      <c r="B58" s="242">
        <v>0.19</v>
      </c>
      <c r="C58" s="245">
        <v>0.22</v>
      </c>
      <c r="D58" s="245">
        <v>0.27</v>
      </c>
      <c r="E58" s="101" t="s">
        <v>452</v>
      </c>
      <c r="F58" s="338">
        <v>0.309</v>
      </c>
      <c r="G58" s="338">
        <v>0.951</v>
      </c>
      <c r="H58" s="338">
        <v>0.3249</v>
      </c>
    </row>
    <row r="59" spans="1:8" ht="15" customHeight="1">
      <c r="A59" s="463">
        <v>0.2</v>
      </c>
      <c r="B59" s="242">
        <v>0.19</v>
      </c>
      <c r="C59" s="245">
        <v>0.23</v>
      </c>
      <c r="D59" s="597">
        <v>0.3</v>
      </c>
      <c r="E59" s="101" t="s">
        <v>453</v>
      </c>
      <c r="F59" s="338">
        <v>0.3255</v>
      </c>
      <c r="G59" s="338">
        <v>0.9455</v>
      </c>
      <c r="H59" s="338">
        <v>0.3443</v>
      </c>
    </row>
    <row r="60" spans="1:8" ht="15" customHeight="1">
      <c r="A60" s="463">
        <v>0.21</v>
      </c>
      <c r="B60" s="242">
        <v>0.2</v>
      </c>
      <c r="C60" s="245">
        <v>0.24</v>
      </c>
      <c r="D60" s="597">
        <v>0.32</v>
      </c>
      <c r="E60" s="101" t="s">
        <v>454</v>
      </c>
      <c r="F60" s="338">
        <v>0.342</v>
      </c>
      <c r="G60" s="338">
        <v>0.9396</v>
      </c>
      <c r="H60" s="338">
        <v>0.3639</v>
      </c>
    </row>
    <row r="61" spans="1:8" ht="15" customHeight="1">
      <c r="A61" s="463">
        <v>0.22</v>
      </c>
      <c r="B61" s="242">
        <v>0.2</v>
      </c>
      <c r="C61" s="245">
        <v>0.25</v>
      </c>
      <c r="D61" s="245">
        <v>0.35</v>
      </c>
      <c r="E61" s="101" t="s">
        <v>455</v>
      </c>
      <c r="F61" s="338">
        <v>0.3583</v>
      </c>
      <c r="G61" s="338">
        <v>0.9335</v>
      </c>
      <c r="H61" s="338">
        <v>0.3838</v>
      </c>
    </row>
    <row r="62" spans="1:8" ht="15" customHeight="1">
      <c r="A62" s="463">
        <v>0.23</v>
      </c>
      <c r="B62" s="242">
        <v>0.2</v>
      </c>
      <c r="C62" s="245">
        <v>0.26</v>
      </c>
      <c r="D62" s="597">
        <v>0.38</v>
      </c>
      <c r="E62" s="101" t="s">
        <v>456</v>
      </c>
      <c r="F62" s="338">
        <v>0.3746</v>
      </c>
      <c r="G62" s="338">
        <v>0.9271</v>
      </c>
      <c r="H62" s="338">
        <v>0.404</v>
      </c>
    </row>
    <row r="63" spans="1:8" ht="15" customHeight="1">
      <c r="A63" s="463">
        <v>0.24</v>
      </c>
      <c r="B63" s="242">
        <v>0.21</v>
      </c>
      <c r="C63" s="245">
        <v>0.27</v>
      </c>
      <c r="D63" s="245">
        <v>0.41</v>
      </c>
      <c r="E63" s="101" t="s">
        <v>457</v>
      </c>
      <c r="F63" s="338">
        <v>0.3907</v>
      </c>
      <c r="G63" s="338">
        <v>0.9205</v>
      </c>
      <c r="H63" s="338">
        <v>0.4244</v>
      </c>
    </row>
    <row r="64" spans="1:8" ht="15" customHeight="1">
      <c r="A64" s="464">
        <v>0.25</v>
      </c>
      <c r="B64" s="245">
        <v>0.21</v>
      </c>
      <c r="C64" s="245">
        <v>0.28</v>
      </c>
      <c r="D64" s="597">
        <v>0.44</v>
      </c>
      <c r="E64" s="101" t="s">
        <v>458</v>
      </c>
      <c r="F64" s="338">
        <v>0.4067</v>
      </c>
      <c r="G64" s="338">
        <v>0.9235</v>
      </c>
      <c r="H64" s="338">
        <v>0.4452</v>
      </c>
    </row>
    <row r="65" spans="1:8" ht="15" customHeight="1">
      <c r="A65" s="463">
        <v>0.26</v>
      </c>
      <c r="B65" s="245">
        <v>0.21</v>
      </c>
      <c r="C65" s="245">
        <v>0.29</v>
      </c>
      <c r="D65" s="245">
        <v>0.47</v>
      </c>
      <c r="E65" s="101" t="s">
        <v>459</v>
      </c>
      <c r="F65" s="338">
        <v>0.422</v>
      </c>
      <c r="G65" s="338">
        <v>0.9063</v>
      </c>
      <c r="H65" s="338">
        <v>0.4663</v>
      </c>
    </row>
    <row r="66" spans="1:8" ht="15" customHeight="1">
      <c r="A66" s="464">
        <v>0.27</v>
      </c>
      <c r="B66" s="245">
        <v>0.22</v>
      </c>
      <c r="C66" s="245">
        <v>0.3</v>
      </c>
      <c r="D66" s="597">
        <v>0.5</v>
      </c>
      <c r="E66" s="101" t="s">
        <v>460</v>
      </c>
      <c r="F66" s="338">
        <v>0.573</v>
      </c>
      <c r="G66" s="338">
        <v>0.8191</v>
      </c>
      <c r="H66" s="338">
        <v>0.7</v>
      </c>
    </row>
    <row r="67" spans="1:8" ht="15" customHeight="1">
      <c r="A67" s="463">
        <v>0.28</v>
      </c>
      <c r="B67" s="245">
        <v>0.22</v>
      </c>
      <c r="C67" s="245">
        <v>0.31</v>
      </c>
      <c r="D67" s="245">
        <v>0.549999999999999</v>
      </c>
      <c r="E67" s="101" t="s">
        <v>461</v>
      </c>
      <c r="F67" s="338">
        <v>0.643</v>
      </c>
      <c r="G67" s="338">
        <v>0.766</v>
      </c>
      <c r="H67" s="338">
        <v>0.8391</v>
      </c>
    </row>
    <row r="68" spans="1:8" ht="15" customHeight="1">
      <c r="A68" s="464">
        <v>0.29</v>
      </c>
      <c r="B68" s="245">
        <v>0.22</v>
      </c>
      <c r="C68" s="245">
        <v>0.32</v>
      </c>
      <c r="D68" s="597">
        <v>0.599999999999999</v>
      </c>
      <c r="E68" s="101" t="s">
        <v>462</v>
      </c>
      <c r="F68" s="338">
        <v>0.707</v>
      </c>
      <c r="G68" s="338">
        <v>0.7071</v>
      </c>
      <c r="H68" s="338">
        <v>1</v>
      </c>
    </row>
    <row r="69" spans="1:8" ht="15" customHeight="1">
      <c r="A69" s="463">
        <v>0.3</v>
      </c>
      <c r="B69" s="245">
        <v>0.23</v>
      </c>
      <c r="C69" s="247">
        <v>0.33</v>
      </c>
      <c r="D69" s="245">
        <v>0.649999999999999</v>
      </c>
      <c r="E69" s="101" t="s">
        <v>463</v>
      </c>
      <c r="F69" s="338">
        <v>0.766</v>
      </c>
      <c r="G69" s="338">
        <v>0.6427</v>
      </c>
      <c r="H69" s="338">
        <v>1.1917</v>
      </c>
    </row>
    <row r="70" spans="1:8" ht="15" customHeight="1">
      <c r="A70" s="464">
        <v>0.31</v>
      </c>
      <c r="B70" s="245">
        <v>0.23</v>
      </c>
      <c r="C70" s="247">
        <v>0.34</v>
      </c>
      <c r="D70" s="597">
        <v>0.699999999999999</v>
      </c>
      <c r="E70" s="101" t="s">
        <v>464</v>
      </c>
      <c r="F70" s="338">
        <v>0.819</v>
      </c>
      <c r="G70" s="338">
        <v>0.5735</v>
      </c>
      <c r="H70" s="338">
        <v>1.4281</v>
      </c>
    </row>
    <row r="71" spans="1:8" ht="15" customHeight="1">
      <c r="A71" s="463">
        <v>0.32</v>
      </c>
      <c r="B71" s="245">
        <v>0.24</v>
      </c>
      <c r="C71" s="245">
        <v>0.35</v>
      </c>
      <c r="D71" s="245">
        <v>0.75</v>
      </c>
      <c r="E71" s="101" t="s">
        <v>465</v>
      </c>
      <c r="F71" s="338">
        <v>0.866</v>
      </c>
      <c r="G71" s="338">
        <v>0.5</v>
      </c>
      <c r="H71" s="338">
        <v>1.732</v>
      </c>
    </row>
    <row r="72" spans="1:8" ht="15" customHeight="1">
      <c r="A72" s="464">
        <v>0.33</v>
      </c>
      <c r="B72" s="245">
        <v>0.24</v>
      </c>
      <c r="C72" s="245">
        <v>0.36</v>
      </c>
      <c r="D72" s="597">
        <v>0.820000000000007</v>
      </c>
      <c r="E72" s="101" t="s">
        <v>466</v>
      </c>
      <c r="F72" s="338">
        <v>0.906</v>
      </c>
      <c r="G72" s="338">
        <v>0.4226</v>
      </c>
      <c r="H72" s="338">
        <v>2.1445</v>
      </c>
    </row>
    <row r="73" spans="1:4" ht="15" customHeight="1">
      <c r="A73" s="463">
        <v>0.34</v>
      </c>
      <c r="B73" s="245">
        <v>0.24</v>
      </c>
      <c r="C73" s="245">
        <v>0.37</v>
      </c>
      <c r="D73" s="597">
        <v>0.880000000000013</v>
      </c>
    </row>
    <row r="74" spans="1:4" ht="15" customHeight="1">
      <c r="A74" s="464">
        <v>0.35</v>
      </c>
      <c r="B74" s="245">
        <v>0.25</v>
      </c>
      <c r="C74" s="245">
        <v>0.38</v>
      </c>
      <c r="D74" s="597">
        <v>0.940000000000019</v>
      </c>
    </row>
    <row r="75" spans="1:4" ht="15" customHeight="1">
      <c r="A75" s="463">
        <v>0.36</v>
      </c>
      <c r="B75" s="245">
        <v>0.25</v>
      </c>
      <c r="C75" s="245">
        <v>0.39</v>
      </c>
      <c r="D75" s="245">
        <v>1.00000000000002</v>
      </c>
    </row>
    <row r="76" spans="1:4" ht="15" customHeight="1">
      <c r="A76" s="464">
        <v>0.37</v>
      </c>
      <c r="B76" s="245">
        <v>0.25</v>
      </c>
      <c r="C76" s="247">
        <v>0.4</v>
      </c>
      <c r="D76" s="245">
        <v>1.0800000000001</v>
      </c>
    </row>
    <row r="77" spans="1:4" ht="15" customHeight="1">
      <c r="A77" s="463">
        <v>0.38</v>
      </c>
      <c r="B77" s="245">
        <v>0.26</v>
      </c>
      <c r="C77" s="247">
        <v>0.41</v>
      </c>
      <c r="D77" s="245">
        <v>1.16000000000018</v>
      </c>
    </row>
    <row r="78" spans="1:4" ht="15" customHeight="1">
      <c r="A78" s="464">
        <v>0.39</v>
      </c>
      <c r="B78" s="245">
        <v>0.26</v>
      </c>
      <c r="C78" s="245">
        <v>0.42</v>
      </c>
      <c r="D78" s="245">
        <v>1.25</v>
      </c>
    </row>
    <row r="79" spans="1:4" ht="15" customHeight="1">
      <c r="A79" s="463">
        <v>0.4</v>
      </c>
      <c r="B79" s="245">
        <v>0.26</v>
      </c>
      <c r="C79" s="245">
        <v>0.43</v>
      </c>
      <c r="D79" s="245">
        <v>1.32999999999792</v>
      </c>
    </row>
    <row r="80" spans="1:4" ht="15" customHeight="1">
      <c r="A80" s="464">
        <v>0.41</v>
      </c>
      <c r="B80" s="245">
        <v>0.27</v>
      </c>
      <c r="C80" s="245">
        <v>0.44</v>
      </c>
      <c r="D80" s="245">
        <v>1.40999999999584</v>
      </c>
    </row>
    <row r="81" spans="1:4" ht="15" customHeight="1">
      <c r="A81" s="463">
        <v>0.42</v>
      </c>
      <c r="B81" s="245">
        <v>0.27</v>
      </c>
      <c r="C81" s="245">
        <v>0.45</v>
      </c>
      <c r="D81" s="245">
        <v>1.5</v>
      </c>
    </row>
    <row r="82" spans="1:4" ht="15" customHeight="1">
      <c r="A82" s="464">
        <v>0.43</v>
      </c>
      <c r="B82" s="245">
        <v>0.27</v>
      </c>
      <c r="C82" s="245">
        <v>0.46</v>
      </c>
      <c r="D82" s="245">
        <v>1.63000000008112</v>
      </c>
    </row>
    <row r="83" spans="1:4" ht="15" customHeight="1">
      <c r="A83" s="463">
        <v>0.44</v>
      </c>
      <c r="B83" s="245">
        <v>0.28</v>
      </c>
      <c r="C83" s="245">
        <v>0.46</v>
      </c>
      <c r="D83" s="245">
        <v>1.64000000008736</v>
      </c>
    </row>
    <row r="84" spans="1:4" ht="15" customHeight="1">
      <c r="A84" s="464">
        <v>0.45</v>
      </c>
      <c r="B84" s="245">
        <v>0.28</v>
      </c>
      <c r="C84" s="245">
        <v>0.47</v>
      </c>
      <c r="D84" s="245">
        <v>1.75</v>
      </c>
    </row>
    <row r="85" spans="1:4" ht="15" customHeight="1">
      <c r="A85" s="463">
        <v>0.46</v>
      </c>
      <c r="B85" s="245">
        <v>0.28</v>
      </c>
      <c r="C85" s="245">
        <v>0.48</v>
      </c>
      <c r="D85" s="245">
        <v>1.87999999805312</v>
      </c>
    </row>
    <row r="86" spans="1:4" ht="15" customHeight="1">
      <c r="A86" s="464">
        <v>0.47</v>
      </c>
      <c r="B86" s="245">
        <v>0.29</v>
      </c>
      <c r="C86" s="245">
        <v>0.49</v>
      </c>
      <c r="D86" s="245">
        <v>2</v>
      </c>
    </row>
    <row r="87" spans="1:4" ht="15" customHeight="1">
      <c r="A87" s="463">
        <v>0.48</v>
      </c>
      <c r="B87" s="245">
        <v>0.29</v>
      </c>
      <c r="C87" s="245">
        <v>0.5</v>
      </c>
      <c r="D87" s="245">
        <v>2.13000004672512</v>
      </c>
    </row>
    <row r="88" spans="1:4" ht="15" customHeight="1">
      <c r="A88" s="464">
        <v>0.49</v>
      </c>
      <c r="B88" s="245">
        <v>0.29</v>
      </c>
      <c r="C88" s="245">
        <v>0.51</v>
      </c>
      <c r="D88" s="245">
        <v>2.25</v>
      </c>
    </row>
    <row r="89" spans="1:2" ht="15" customHeight="1">
      <c r="A89" s="463">
        <v>0.5</v>
      </c>
      <c r="B89" s="245">
        <v>0.3</v>
      </c>
    </row>
    <row r="90" spans="1:2" ht="15" customHeight="1">
      <c r="A90" s="464">
        <v>0.509999999999999</v>
      </c>
      <c r="B90" s="245">
        <v>0.3</v>
      </c>
    </row>
    <row r="91" spans="1:2" ht="15" customHeight="1">
      <c r="A91" s="463">
        <v>0.519999999999999</v>
      </c>
      <c r="B91" s="245">
        <v>0.3</v>
      </c>
    </row>
    <row r="92" spans="1:2" ht="15" customHeight="1">
      <c r="A92" s="464">
        <v>0.529999999999999</v>
      </c>
      <c r="B92" s="245">
        <v>0.3</v>
      </c>
    </row>
    <row r="93" spans="1:2" ht="15" customHeight="1">
      <c r="A93" s="463">
        <v>0.539999999999999</v>
      </c>
      <c r="B93" s="245">
        <v>0.3</v>
      </c>
    </row>
    <row r="94" spans="1:2" ht="15" customHeight="1">
      <c r="A94" s="464">
        <v>0.549999999999999</v>
      </c>
      <c r="B94" s="245">
        <v>0.31</v>
      </c>
    </row>
    <row r="95" spans="1:2" ht="15" customHeight="1">
      <c r="A95" s="463">
        <v>0.559999999999999</v>
      </c>
      <c r="B95" s="245">
        <v>0.31</v>
      </c>
    </row>
    <row r="96" spans="1:2" ht="15" customHeight="1">
      <c r="A96" s="464">
        <v>0.569999999999999</v>
      </c>
      <c r="B96" s="245">
        <v>0.31</v>
      </c>
    </row>
    <row r="97" spans="1:2" ht="15" customHeight="1">
      <c r="A97" s="463">
        <v>0.579999999999999</v>
      </c>
      <c r="B97" s="245">
        <v>0.31</v>
      </c>
    </row>
    <row r="98" spans="1:2" ht="15" customHeight="1">
      <c r="A98" s="464">
        <v>0.589999999999999</v>
      </c>
      <c r="B98" s="245">
        <v>0.31</v>
      </c>
    </row>
    <row r="99" spans="1:2" ht="15" customHeight="1">
      <c r="A99" s="463">
        <v>0.599999999999999</v>
      </c>
      <c r="B99" s="245">
        <v>0.32</v>
      </c>
    </row>
    <row r="100" spans="1:2" ht="15" customHeight="1">
      <c r="A100" s="464">
        <v>0.609999999999999</v>
      </c>
      <c r="B100" s="245">
        <v>0.32</v>
      </c>
    </row>
    <row r="101" spans="1:2" ht="15" customHeight="1">
      <c r="A101" s="463">
        <v>0.619999999999999</v>
      </c>
      <c r="B101" s="245">
        <v>0.32</v>
      </c>
    </row>
    <row r="102" spans="1:2" ht="15" customHeight="1">
      <c r="A102" s="464">
        <v>0.629999999999999</v>
      </c>
      <c r="B102" s="245">
        <v>0.32</v>
      </c>
    </row>
    <row r="103" spans="1:2" ht="15" customHeight="1">
      <c r="A103" s="463">
        <v>0.639999999999999</v>
      </c>
      <c r="B103" s="245">
        <v>0.32</v>
      </c>
    </row>
    <row r="104" spans="1:2" ht="15" customHeight="1">
      <c r="A104" s="464">
        <v>0.649999999999999</v>
      </c>
      <c r="B104" s="247">
        <v>0.33</v>
      </c>
    </row>
    <row r="105" spans="1:2" ht="15" customHeight="1">
      <c r="A105" s="463">
        <v>0.659999999999999</v>
      </c>
      <c r="B105" s="247">
        <v>0.33</v>
      </c>
    </row>
    <row r="106" spans="1:2" ht="15" customHeight="1">
      <c r="A106" s="464">
        <v>0.669999999999999</v>
      </c>
      <c r="B106" s="247">
        <v>0.33</v>
      </c>
    </row>
    <row r="107" spans="1:2" ht="15" customHeight="1">
      <c r="A107" s="463">
        <v>0.679999999999999</v>
      </c>
      <c r="B107" s="247">
        <v>0.33</v>
      </c>
    </row>
    <row r="108" spans="1:2" ht="15" customHeight="1">
      <c r="A108" s="464">
        <v>0.689999999999999</v>
      </c>
      <c r="B108" s="247">
        <v>0.33</v>
      </c>
    </row>
    <row r="109" spans="1:2" ht="15" customHeight="1">
      <c r="A109" s="463">
        <v>0.699999999999999</v>
      </c>
      <c r="B109" s="247">
        <v>0.34</v>
      </c>
    </row>
    <row r="110" spans="1:2" ht="15" customHeight="1">
      <c r="A110" s="464">
        <v>0.709999999999999</v>
      </c>
      <c r="B110" s="247">
        <v>0.34</v>
      </c>
    </row>
    <row r="111" spans="1:2" ht="15" customHeight="1">
      <c r="A111" s="463">
        <v>0.719999999999999</v>
      </c>
      <c r="B111" s="247">
        <v>0.34</v>
      </c>
    </row>
    <row r="112" spans="1:2" ht="15" customHeight="1">
      <c r="A112" s="464">
        <v>0.729999999999999</v>
      </c>
      <c r="B112" s="247">
        <v>0.34</v>
      </c>
    </row>
    <row r="113" spans="1:2" ht="15" customHeight="1">
      <c r="A113" s="463">
        <v>0.739999999999999</v>
      </c>
      <c r="B113" s="247">
        <v>0.34</v>
      </c>
    </row>
    <row r="114" spans="1:2" ht="15" customHeight="1">
      <c r="A114" s="464">
        <v>0.75</v>
      </c>
      <c r="B114" s="245">
        <v>0.35</v>
      </c>
    </row>
    <row r="115" spans="1:2" ht="15" customHeight="1">
      <c r="A115" s="463">
        <v>0.760000000000001</v>
      </c>
      <c r="B115" s="245">
        <v>0.35</v>
      </c>
    </row>
    <row r="116" spans="1:2" ht="15" customHeight="1">
      <c r="A116" s="464">
        <v>0.770000000000002</v>
      </c>
      <c r="B116" s="245">
        <v>0.35</v>
      </c>
    </row>
    <row r="117" spans="1:2" ht="15" customHeight="1">
      <c r="A117" s="463">
        <v>0.780000000000003</v>
      </c>
      <c r="B117" s="245">
        <v>0.35</v>
      </c>
    </row>
    <row r="118" spans="1:2" ht="15" customHeight="1">
      <c r="A118" s="464">
        <v>0.790000000000004</v>
      </c>
      <c r="B118" s="245">
        <v>0.35</v>
      </c>
    </row>
    <row r="119" spans="1:2" ht="15" customHeight="1">
      <c r="A119" s="463">
        <v>0.800000000000005</v>
      </c>
      <c r="B119" s="245">
        <v>0.35</v>
      </c>
    </row>
    <row r="120" spans="1:2" ht="15" customHeight="1">
      <c r="A120" s="464">
        <v>0.810000000000006</v>
      </c>
      <c r="B120" s="245">
        <v>0.35</v>
      </c>
    </row>
    <row r="121" spans="1:2" ht="15" customHeight="1">
      <c r="A121" s="463">
        <v>0.820000000000007</v>
      </c>
      <c r="B121" s="245">
        <v>0.36</v>
      </c>
    </row>
    <row r="122" spans="1:2" ht="15" customHeight="1">
      <c r="A122" s="464">
        <v>0.830000000000008</v>
      </c>
      <c r="B122" s="245">
        <v>0.36</v>
      </c>
    </row>
    <row r="123" spans="1:2" ht="15" customHeight="1">
      <c r="A123" s="463">
        <v>0.840000000000009</v>
      </c>
      <c r="B123" s="245">
        <v>0.36</v>
      </c>
    </row>
    <row r="124" spans="1:2" ht="15" customHeight="1">
      <c r="A124" s="464">
        <v>0.85000000000001</v>
      </c>
      <c r="B124" s="245">
        <v>0.36</v>
      </c>
    </row>
    <row r="125" spans="1:2" ht="15" customHeight="1">
      <c r="A125" s="463">
        <v>0.860000000000011</v>
      </c>
      <c r="B125" s="245">
        <v>0.36</v>
      </c>
    </row>
    <row r="126" spans="1:2" ht="15" customHeight="1">
      <c r="A126" s="464">
        <v>0.870000000000012</v>
      </c>
      <c r="B126" s="245">
        <v>0.36</v>
      </c>
    </row>
    <row r="127" spans="1:2" ht="15" customHeight="1">
      <c r="A127" s="463">
        <v>0.880000000000013</v>
      </c>
      <c r="B127" s="245">
        <v>0.37</v>
      </c>
    </row>
    <row r="128" spans="1:2" ht="15" customHeight="1">
      <c r="A128" s="464">
        <v>0.890000000000014</v>
      </c>
      <c r="B128" s="245">
        <v>0.37</v>
      </c>
    </row>
    <row r="129" spans="1:2" ht="15" customHeight="1">
      <c r="A129" s="463">
        <v>0.900000000000015</v>
      </c>
      <c r="B129" s="245">
        <v>0.37</v>
      </c>
    </row>
    <row r="130" spans="1:2" ht="15" customHeight="1">
      <c r="A130" s="464">
        <v>0.910000000000016</v>
      </c>
      <c r="B130" s="245">
        <v>0.37</v>
      </c>
    </row>
    <row r="131" spans="1:2" ht="15" customHeight="1">
      <c r="A131" s="463">
        <v>0.920000000000017</v>
      </c>
      <c r="B131" s="245">
        <v>0.37</v>
      </c>
    </row>
    <row r="132" spans="1:2" ht="15" customHeight="1">
      <c r="A132" s="464">
        <v>0.930000000000018</v>
      </c>
      <c r="B132" s="245">
        <v>0.37</v>
      </c>
    </row>
    <row r="133" spans="1:2" ht="15" customHeight="1">
      <c r="A133" s="463">
        <v>0.940000000000019</v>
      </c>
      <c r="B133" s="245">
        <v>0.38</v>
      </c>
    </row>
    <row r="134" spans="1:2" ht="15" customHeight="1">
      <c r="A134" s="464">
        <v>0.95000000000002</v>
      </c>
      <c r="B134" s="245">
        <v>0.38</v>
      </c>
    </row>
    <row r="135" spans="1:2" ht="15" customHeight="1">
      <c r="A135" s="463">
        <v>0.960000000000021</v>
      </c>
      <c r="B135" s="245">
        <v>0.38</v>
      </c>
    </row>
    <row r="136" spans="1:2" ht="15" customHeight="1">
      <c r="A136" s="464">
        <v>0.970000000000022</v>
      </c>
      <c r="B136" s="245">
        <v>0.38</v>
      </c>
    </row>
    <row r="137" spans="1:2" ht="15" customHeight="1">
      <c r="A137" s="463">
        <v>0.980000000000023</v>
      </c>
      <c r="B137" s="245">
        <v>0.38</v>
      </c>
    </row>
    <row r="138" spans="1:2" ht="15" customHeight="1">
      <c r="A138" s="463">
        <v>0.990000000000024</v>
      </c>
      <c r="B138" s="245">
        <v>0.38</v>
      </c>
    </row>
    <row r="139" spans="1:2" ht="15" customHeight="1">
      <c r="A139" s="464">
        <v>1.00000000000002</v>
      </c>
      <c r="B139" s="245">
        <v>0.39</v>
      </c>
    </row>
    <row r="140" spans="1:2" ht="15" customHeight="1">
      <c r="A140" s="463">
        <v>1.01000000000003</v>
      </c>
      <c r="B140" s="245">
        <v>0.39</v>
      </c>
    </row>
    <row r="141" spans="1:2" ht="15" customHeight="1">
      <c r="A141" s="464">
        <v>1.02000000000004</v>
      </c>
      <c r="B141" s="245">
        <v>0.39</v>
      </c>
    </row>
    <row r="142" spans="1:2" ht="15" customHeight="1">
      <c r="A142" s="463">
        <v>1.03000000000005</v>
      </c>
      <c r="B142" s="245">
        <v>0.39</v>
      </c>
    </row>
    <row r="143" spans="1:2" ht="15" customHeight="1">
      <c r="A143" s="464">
        <v>1.04000000000006</v>
      </c>
      <c r="B143" s="245">
        <v>0.39</v>
      </c>
    </row>
    <row r="144" spans="1:2" ht="15" customHeight="1">
      <c r="A144" s="463">
        <v>1.05000000000007</v>
      </c>
      <c r="B144" s="245">
        <v>0.39</v>
      </c>
    </row>
    <row r="145" spans="1:2" ht="15" customHeight="1">
      <c r="A145" s="464">
        <v>1.06000000000008</v>
      </c>
      <c r="B145" s="245">
        <v>0.39</v>
      </c>
    </row>
    <row r="146" spans="1:2" ht="15" customHeight="1">
      <c r="A146" s="463">
        <v>1.07000000000009</v>
      </c>
      <c r="B146" s="245">
        <v>0.39</v>
      </c>
    </row>
    <row r="147" spans="1:2" ht="15" customHeight="1">
      <c r="A147" s="464">
        <v>1.0800000000001</v>
      </c>
      <c r="B147" s="247">
        <v>0.4</v>
      </c>
    </row>
    <row r="148" spans="1:2" ht="15" customHeight="1">
      <c r="A148" s="463">
        <v>1.09000000000011</v>
      </c>
      <c r="B148" s="247">
        <v>0.4</v>
      </c>
    </row>
    <row r="149" spans="1:2" ht="15" customHeight="1">
      <c r="A149" s="464">
        <v>1.10000000000012</v>
      </c>
      <c r="B149" s="247">
        <v>0.4</v>
      </c>
    </row>
    <row r="150" spans="1:2" ht="15" customHeight="1">
      <c r="A150" s="463">
        <v>1.11000000000013</v>
      </c>
      <c r="B150" s="247">
        <v>0.4</v>
      </c>
    </row>
    <row r="151" spans="1:2" ht="15" customHeight="1">
      <c r="A151" s="464">
        <v>1.12000000000014</v>
      </c>
      <c r="B151" s="247">
        <v>0.4</v>
      </c>
    </row>
    <row r="152" spans="1:2" ht="15" customHeight="1">
      <c r="A152" s="463">
        <v>1.13000000000015</v>
      </c>
      <c r="B152" s="247">
        <v>0.4</v>
      </c>
    </row>
    <row r="153" spans="1:2" ht="15" customHeight="1">
      <c r="A153" s="464">
        <v>1.14000000000016</v>
      </c>
      <c r="B153" s="247">
        <v>0.4</v>
      </c>
    </row>
    <row r="154" spans="1:2" ht="15" customHeight="1">
      <c r="A154" s="463">
        <v>1.15000000000017</v>
      </c>
      <c r="B154" s="247">
        <v>0.4</v>
      </c>
    </row>
    <row r="155" spans="1:2" ht="15" customHeight="1">
      <c r="A155" s="464">
        <v>1.16000000000018</v>
      </c>
      <c r="B155" s="247">
        <v>0.41</v>
      </c>
    </row>
    <row r="156" spans="1:2" ht="15" customHeight="1">
      <c r="A156" s="463">
        <v>1.17000000000019</v>
      </c>
      <c r="B156" s="247">
        <v>0.41</v>
      </c>
    </row>
    <row r="157" spans="1:2" ht="15" customHeight="1">
      <c r="A157" s="464">
        <v>1.1800000000002</v>
      </c>
      <c r="B157" s="247">
        <v>0.41</v>
      </c>
    </row>
    <row r="158" spans="1:2" ht="15" customHeight="1">
      <c r="A158" s="463">
        <v>1.19000000000021</v>
      </c>
      <c r="B158" s="247">
        <v>0.41</v>
      </c>
    </row>
    <row r="159" spans="1:2" ht="15" customHeight="1">
      <c r="A159" s="464">
        <v>1.20000000000022</v>
      </c>
      <c r="B159" s="247">
        <v>0.41</v>
      </c>
    </row>
    <row r="160" spans="1:2" ht="15" customHeight="1">
      <c r="A160" s="463">
        <v>1.21000000000023</v>
      </c>
      <c r="B160" s="247">
        <v>0.41</v>
      </c>
    </row>
    <row r="161" spans="1:2" ht="15" customHeight="1">
      <c r="A161" s="464">
        <v>1.22000000000024</v>
      </c>
      <c r="B161" s="247">
        <v>0.41</v>
      </c>
    </row>
    <row r="162" spans="1:2" ht="15" customHeight="1">
      <c r="A162" s="463">
        <v>1.23000000000025</v>
      </c>
      <c r="B162" s="247">
        <v>0.41</v>
      </c>
    </row>
    <row r="163" spans="1:2" ht="15" customHeight="1">
      <c r="A163" s="464">
        <v>1.24000000000026</v>
      </c>
      <c r="B163" s="247">
        <v>0.41</v>
      </c>
    </row>
    <row r="164" spans="1:2" ht="15" customHeight="1">
      <c r="A164" s="464">
        <v>1.25</v>
      </c>
      <c r="B164" s="245">
        <v>0.42</v>
      </c>
    </row>
    <row r="165" spans="1:2" ht="15" customHeight="1">
      <c r="A165" s="464">
        <v>1.25999999999974</v>
      </c>
      <c r="B165" s="245">
        <v>0.42</v>
      </c>
    </row>
    <row r="166" spans="1:2" ht="15" customHeight="1">
      <c r="A166" s="464">
        <v>1.26999999999948</v>
      </c>
      <c r="B166" s="245">
        <v>0.42</v>
      </c>
    </row>
    <row r="167" spans="1:2" ht="15" customHeight="1">
      <c r="A167" s="464">
        <v>1.27999999999922</v>
      </c>
      <c r="B167" s="245">
        <v>0.42</v>
      </c>
    </row>
    <row r="168" spans="1:2" ht="15" customHeight="1">
      <c r="A168" s="464">
        <v>1.28999999999896</v>
      </c>
      <c r="B168" s="245">
        <v>0.42</v>
      </c>
    </row>
    <row r="169" spans="1:2" ht="15" customHeight="1">
      <c r="A169" s="464">
        <v>1.2999999999987</v>
      </c>
      <c r="B169" s="245">
        <v>0.42</v>
      </c>
    </row>
    <row r="170" spans="1:2" ht="15" customHeight="1">
      <c r="A170" s="464">
        <v>1.30999999999844</v>
      </c>
      <c r="B170" s="245">
        <v>0.42</v>
      </c>
    </row>
    <row r="171" spans="1:2" ht="15" customHeight="1">
      <c r="A171" s="464">
        <v>1.31999999999818</v>
      </c>
      <c r="B171" s="245">
        <v>0.42</v>
      </c>
    </row>
    <row r="172" spans="1:2" ht="15" customHeight="1">
      <c r="A172" s="464">
        <v>1.32999999999792</v>
      </c>
      <c r="B172" s="245">
        <v>0.43</v>
      </c>
    </row>
    <row r="173" spans="1:2" ht="15" customHeight="1">
      <c r="A173" s="464">
        <v>1.33999999999766</v>
      </c>
      <c r="B173" s="245">
        <v>0.43</v>
      </c>
    </row>
    <row r="174" spans="1:2" ht="15" customHeight="1">
      <c r="A174" s="464">
        <v>1.3499999999974</v>
      </c>
      <c r="B174" s="245">
        <v>0.43</v>
      </c>
    </row>
    <row r="175" spans="1:2" ht="15" customHeight="1">
      <c r="A175" s="464">
        <v>1.35999999999714</v>
      </c>
      <c r="B175" s="245">
        <v>0.43</v>
      </c>
    </row>
    <row r="176" spans="1:2" ht="15" customHeight="1">
      <c r="A176" s="464">
        <v>1.36999999999688</v>
      </c>
      <c r="B176" s="245">
        <v>0.43</v>
      </c>
    </row>
    <row r="177" spans="1:2" ht="15" customHeight="1">
      <c r="A177" s="464">
        <v>1.37999999999662</v>
      </c>
      <c r="B177" s="245">
        <v>0.43</v>
      </c>
    </row>
    <row r="178" spans="1:2" ht="15" customHeight="1">
      <c r="A178" s="464">
        <v>1.38999999999636</v>
      </c>
      <c r="B178" s="245">
        <v>0.43</v>
      </c>
    </row>
    <row r="179" spans="1:2" ht="15" customHeight="1">
      <c r="A179" s="464">
        <v>1.3999999999961</v>
      </c>
      <c r="B179" s="245">
        <v>0.43</v>
      </c>
    </row>
    <row r="180" spans="1:2" ht="15" customHeight="1">
      <c r="A180" s="464">
        <v>1.40999999999584</v>
      </c>
      <c r="B180" s="245">
        <v>0.44</v>
      </c>
    </row>
    <row r="181" spans="1:2" ht="15" customHeight="1">
      <c r="A181" s="464">
        <v>1.41999999999558</v>
      </c>
      <c r="B181" s="245">
        <v>0.44</v>
      </c>
    </row>
    <row r="182" spans="1:2" ht="15" customHeight="1">
      <c r="A182" s="464">
        <v>1.42999999999532</v>
      </c>
      <c r="B182" s="245">
        <v>0.44</v>
      </c>
    </row>
    <row r="183" spans="1:2" ht="15" customHeight="1">
      <c r="A183" s="464">
        <v>1.43999999999506</v>
      </c>
      <c r="B183" s="245">
        <v>0.44</v>
      </c>
    </row>
    <row r="184" spans="1:2" ht="15" customHeight="1">
      <c r="A184" s="464">
        <v>1.4499999999948</v>
      </c>
      <c r="B184" s="245">
        <v>0.44</v>
      </c>
    </row>
    <row r="185" spans="1:2" ht="15" customHeight="1">
      <c r="A185" s="464">
        <v>1.45999999999454</v>
      </c>
      <c r="B185" s="245">
        <v>0.44</v>
      </c>
    </row>
    <row r="186" spans="1:2" ht="15" customHeight="1">
      <c r="A186" s="464">
        <v>1.46999999999428</v>
      </c>
      <c r="B186" s="245">
        <v>0.44</v>
      </c>
    </row>
    <row r="187" spans="1:2" ht="15" customHeight="1">
      <c r="A187" s="464">
        <v>1.47999999999402</v>
      </c>
      <c r="B187" s="245">
        <v>0.44</v>
      </c>
    </row>
    <row r="188" spans="1:2" ht="15" customHeight="1">
      <c r="A188" s="464">
        <v>1.48999999999376</v>
      </c>
      <c r="B188" s="245">
        <v>0.44</v>
      </c>
    </row>
    <row r="189" spans="1:2" ht="15" customHeight="1">
      <c r="A189" s="464">
        <v>1.5</v>
      </c>
      <c r="B189" s="245">
        <v>0.45</v>
      </c>
    </row>
    <row r="190" spans="1:2" ht="15" customHeight="1">
      <c r="A190" s="464">
        <v>1.51000000000624</v>
      </c>
      <c r="B190" s="245">
        <v>0.45</v>
      </c>
    </row>
    <row r="191" spans="1:2" ht="15" customHeight="1">
      <c r="A191" s="464">
        <v>1.52000000001248</v>
      </c>
      <c r="B191" s="245">
        <v>0.45</v>
      </c>
    </row>
    <row r="192" spans="1:2" ht="15" customHeight="1">
      <c r="A192" s="464">
        <v>1.53000000001872</v>
      </c>
      <c r="B192" s="245">
        <v>0.45</v>
      </c>
    </row>
    <row r="193" spans="1:2" ht="15" customHeight="1">
      <c r="A193" s="464">
        <v>1.54000000002496</v>
      </c>
      <c r="B193" s="245">
        <v>0.45</v>
      </c>
    </row>
    <row r="194" spans="1:2" ht="15" customHeight="1">
      <c r="A194" s="464">
        <v>1.5500000000312</v>
      </c>
      <c r="B194" s="245">
        <v>0.45</v>
      </c>
    </row>
    <row r="195" spans="1:2" ht="15" customHeight="1">
      <c r="A195" s="464">
        <v>1.56000000003744</v>
      </c>
      <c r="B195" s="245">
        <v>0.45</v>
      </c>
    </row>
    <row r="196" spans="1:2" ht="15" customHeight="1">
      <c r="A196" s="464">
        <v>1.57000000004368</v>
      </c>
      <c r="B196" s="245">
        <v>0.45</v>
      </c>
    </row>
    <row r="197" spans="1:2" ht="15" customHeight="1">
      <c r="A197" s="464">
        <v>1.58000000004992</v>
      </c>
      <c r="B197" s="245">
        <v>0.45</v>
      </c>
    </row>
    <row r="198" spans="1:2" ht="15" customHeight="1">
      <c r="A198" s="464">
        <v>1.59000000005616</v>
      </c>
      <c r="B198" s="245">
        <v>0.45</v>
      </c>
    </row>
    <row r="199" spans="1:2" ht="15" customHeight="1">
      <c r="A199" s="464">
        <v>1.6000000000624</v>
      </c>
      <c r="B199" s="245">
        <v>0.45</v>
      </c>
    </row>
    <row r="200" spans="1:2" ht="15" customHeight="1">
      <c r="A200" s="464">
        <v>1.61000000006864</v>
      </c>
      <c r="B200" s="245">
        <v>0.45</v>
      </c>
    </row>
    <row r="201" spans="1:2" ht="15" customHeight="1">
      <c r="A201" s="464">
        <v>1.62000000007488</v>
      </c>
      <c r="B201" s="245">
        <v>0.45</v>
      </c>
    </row>
    <row r="202" spans="1:2" ht="15" customHeight="1">
      <c r="A202" s="464">
        <v>1.63000000008112</v>
      </c>
      <c r="B202" s="245">
        <v>0.46</v>
      </c>
    </row>
    <row r="203" spans="1:2" ht="15" customHeight="1">
      <c r="A203" s="464">
        <v>1.64000000008736</v>
      </c>
      <c r="B203" s="245">
        <v>0.46</v>
      </c>
    </row>
    <row r="204" spans="1:2" ht="15" customHeight="1">
      <c r="A204" s="464">
        <v>1.6500000000936</v>
      </c>
      <c r="B204" s="245">
        <v>0.46</v>
      </c>
    </row>
    <row r="205" spans="1:2" ht="15" customHeight="1">
      <c r="A205" s="464">
        <v>1.66000000009984</v>
      </c>
      <c r="B205" s="245">
        <v>0.46</v>
      </c>
    </row>
    <row r="206" spans="1:2" ht="15" customHeight="1">
      <c r="A206" s="464">
        <v>1.67000000010608</v>
      </c>
      <c r="B206" s="245">
        <v>0.46</v>
      </c>
    </row>
    <row r="207" spans="1:2" ht="15" customHeight="1">
      <c r="A207" s="464">
        <v>1.68000000011232</v>
      </c>
      <c r="B207" s="245">
        <v>0.46</v>
      </c>
    </row>
    <row r="208" spans="1:2" ht="15" customHeight="1">
      <c r="A208" s="464">
        <v>1.69000000011856</v>
      </c>
      <c r="B208" s="245">
        <v>0.46</v>
      </c>
    </row>
    <row r="209" spans="1:2" ht="15" customHeight="1">
      <c r="A209" s="464">
        <v>1.7000000001248</v>
      </c>
      <c r="B209" s="245">
        <v>0.46</v>
      </c>
    </row>
    <row r="210" spans="1:2" ht="15" customHeight="1">
      <c r="A210" s="464">
        <v>1.71000000013104</v>
      </c>
      <c r="B210" s="245">
        <v>0.46</v>
      </c>
    </row>
    <row r="211" spans="1:2" ht="15" customHeight="1">
      <c r="A211" s="464">
        <v>1.72000000013728</v>
      </c>
      <c r="B211" s="245">
        <v>0.46</v>
      </c>
    </row>
    <row r="212" spans="1:2" ht="15" customHeight="1">
      <c r="A212" s="464">
        <v>1.73000000014352</v>
      </c>
      <c r="B212" s="245">
        <v>0.46</v>
      </c>
    </row>
    <row r="213" spans="1:2" ht="15" customHeight="1">
      <c r="A213" s="464">
        <v>1.74000000014976</v>
      </c>
      <c r="B213" s="245">
        <v>0.46</v>
      </c>
    </row>
    <row r="214" spans="1:2" ht="15" customHeight="1">
      <c r="A214" s="464">
        <v>1.75</v>
      </c>
      <c r="B214" s="245">
        <v>0.47</v>
      </c>
    </row>
    <row r="215" spans="1:2" ht="15" customHeight="1">
      <c r="A215" s="464">
        <v>1.75999999985024</v>
      </c>
      <c r="B215" s="245">
        <v>0.47</v>
      </c>
    </row>
    <row r="216" spans="1:2" ht="15" customHeight="1">
      <c r="A216" s="464">
        <v>1.76999999970048</v>
      </c>
      <c r="B216" s="245">
        <v>0.47</v>
      </c>
    </row>
    <row r="217" spans="1:2" ht="15" customHeight="1">
      <c r="A217" s="464">
        <v>1.77999999955072</v>
      </c>
      <c r="B217" s="245">
        <v>0.47</v>
      </c>
    </row>
    <row r="218" spans="1:2" ht="15" customHeight="1">
      <c r="A218" s="464">
        <v>1.78999999940096</v>
      </c>
      <c r="B218" s="245">
        <v>0.47</v>
      </c>
    </row>
    <row r="219" spans="1:2" ht="15" customHeight="1">
      <c r="A219" s="464">
        <v>1.7999999992512</v>
      </c>
      <c r="B219" s="245">
        <v>0.47</v>
      </c>
    </row>
    <row r="220" spans="1:2" ht="15" customHeight="1">
      <c r="A220" s="464">
        <v>1.80999999910144</v>
      </c>
      <c r="B220" s="245">
        <v>0.47</v>
      </c>
    </row>
    <row r="221" spans="1:2" ht="15" customHeight="1">
      <c r="A221" s="464">
        <v>1.81999999895168</v>
      </c>
      <c r="B221" s="245">
        <v>0.47</v>
      </c>
    </row>
    <row r="222" spans="1:2" ht="15" customHeight="1">
      <c r="A222" s="464">
        <v>1.82999999880192</v>
      </c>
      <c r="B222" s="245">
        <v>0.47</v>
      </c>
    </row>
    <row r="223" spans="1:2" ht="15" customHeight="1">
      <c r="A223" s="464">
        <v>1.83999999865216</v>
      </c>
      <c r="B223" s="245">
        <v>0.47</v>
      </c>
    </row>
    <row r="224" spans="1:2" ht="15" customHeight="1">
      <c r="A224" s="464">
        <v>1.8499999985024</v>
      </c>
      <c r="B224" s="245">
        <v>0.47</v>
      </c>
    </row>
    <row r="225" spans="1:2" ht="15" customHeight="1">
      <c r="A225" s="464">
        <v>1.85999999835264</v>
      </c>
      <c r="B225" s="245">
        <v>0.47</v>
      </c>
    </row>
    <row r="226" spans="1:2" ht="15" customHeight="1">
      <c r="A226" s="464">
        <v>1.86999999820288</v>
      </c>
      <c r="B226" s="245">
        <v>0.47</v>
      </c>
    </row>
    <row r="227" spans="1:2" ht="15" customHeight="1">
      <c r="A227" s="464">
        <v>1.87999999805312</v>
      </c>
      <c r="B227" s="245">
        <v>0.48</v>
      </c>
    </row>
    <row r="228" spans="1:2" ht="15" customHeight="1">
      <c r="A228" s="464">
        <v>1.88999999790336</v>
      </c>
      <c r="B228" s="245">
        <v>0.48</v>
      </c>
    </row>
    <row r="229" spans="1:2" ht="15" customHeight="1">
      <c r="A229" s="464">
        <v>1.8999999977536</v>
      </c>
      <c r="B229" s="245">
        <v>0.48</v>
      </c>
    </row>
    <row r="230" spans="1:2" ht="15" customHeight="1">
      <c r="A230" s="464">
        <v>1.90999999760384</v>
      </c>
      <c r="B230" s="245">
        <v>0.48</v>
      </c>
    </row>
    <row r="231" spans="1:2" ht="15" customHeight="1">
      <c r="A231" s="464">
        <v>1.91999999745408</v>
      </c>
      <c r="B231" s="245">
        <v>0.48</v>
      </c>
    </row>
    <row r="232" spans="1:2" ht="15" customHeight="1">
      <c r="A232" s="464">
        <v>1.92999999730432</v>
      </c>
      <c r="B232" s="245">
        <v>0.48</v>
      </c>
    </row>
    <row r="233" spans="1:2" ht="15" customHeight="1">
      <c r="A233" s="464">
        <v>1.93999999715456</v>
      </c>
      <c r="B233" s="245">
        <v>0.48</v>
      </c>
    </row>
    <row r="234" spans="1:2" ht="15" customHeight="1">
      <c r="A234" s="464">
        <v>1.9499999970048</v>
      </c>
      <c r="B234" s="245">
        <v>0.48</v>
      </c>
    </row>
    <row r="235" spans="1:2" ht="15" customHeight="1">
      <c r="A235" s="464">
        <v>1.95999999685504</v>
      </c>
      <c r="B235" s="245">
        <v>0.48</v>
      </c>
    </row>
    <row r="236" spans="1:2" ht="15" customHeight="1">
      <c r="A236" s="464">
        <v>1.96999999670528</v>
      </c>
      <c r="B236" s="245">
        <v>0.48</v>
      </c>
    </row>
    <row r="237" spans="1:2" ht="15" customHeight="1">
      <c r="A237" s="464">
        <v>1.97999999655552</v>
      </c>
      <c r="B237" s="245">
        <v>0.48</v>
      </c>
    </row>
    <row r="238" spans="1:2" ht="15" customHeight="1">
      <c r="A238" s="464">
        <v>1.98999999640576</v>
      </c>
      <c r="B238" s="245">
        <v>0.48</v>
      </c>
    </row>
    <row r="239" spans="1:2" ht="15" customHeight="1">
      <c r="A239" s="464">
        <v>2</v>
      </c>
      <c r="B239" s="245">
        <v>0.49</v>
      </c>
    </row>
    <row r="240" spans="1:2" ht="15" customHeight="1">
      <c r="A240" s="464">
        <v>2.01000000359424</v>
      </c>
      <c r="B240" s="245">
        <v>0.49</v>
      </c>
    </row>
    <row r="241" spans="1:2" ht="15" customHeight="1">
      <c r="A241" s="464">
        <v>2.02000000718848</v>
      </c>
      <c r="B241" s="245">
        <v>0.49</v>
      </c>
    </row>
    <row r="242" spans="1:2" ht="15" customHeight="1">
      <c r="A242" s="464">
        <v>2.03000001078272</v>
      </c>
      <c r="B242" s="245">
        <v>0.49</v>
      </c>
    </row>
    <row r="243" spans="1:2" ht="15" customHeight="1">
      <c r="A243" s="464">
        <v>2.04000001437696</v>
      </c>
      <c r="B243" s="245">
        <v>0.49</v>
      </c>
    </row>
    <row r="244" spans="1:2" ht="15" customHeight="1">
      <c r="A244" s="464">
        <v>2.0500000179712</v>
      </c>
      <c r="B244" s="245">
        <v>0.49</v>
      </c>
    </row>
    <row r="245" spans="1:2" ht="15" customHeight="1">
      <c r="A245" s="464">
        <v>2.06000002156544</v>
      </c>
      <c r="B245" s="245">
        <v>0.49</v>
      </c>
    </row>
    <row r="246" spans="1:2" ht="15" customHeight="1">
      <c r="A246" s="464">
        <v>2.07000002515968</v>
      </c>
      <c r="B246" s="245">
        <v>0.49</v>
      </c>
    </row>
    <row r="247" spans="1:2" ht="15" customHeight="1">
      <c r="A247" s="464">
        <v>2.08000002875392</v>
      </c>
      <c r="B247" s="245">
        <v>0.49</v>
      </c>
    </row>
    <row r="248" spans="1:2" ht="15" customHeight="1">
      <c r="A248" s="464">
        <v>2.09000003234816</v>
      </c>
      <c r="B248" s="245">
        <v>0.49</v>
      </c>
    </row>
    <row r="249" spans="1:2" ht="15" customHeight="1">
      <c r="A249" s="464">
        <v>2.1000000359424</v>
      </c>
      <c r="B249" s="245">
        <v>0.49</v>
      </c>
    </row>
    <row r="250" spans="1:2" ht="15" customHeight="1">
      <c r="A250" s="464">
        <v>2.11000003953664</v>
      </c>
      <c r="B250" s="245">
        <v>0.49</v>
      </c>
    </row>
    <row r="251" spans="1:2" ht="15" customHeight="1">
      <c r="A251" s="464">
        <v>2.12000004313088</v>
      </c>
      <c r="B251" s="245">
        <v>0.49</v>
      </c>
    </row>
    <row r="252" spans="1:2" ht="15" customHeight="1">
      <c r="A252" s="464">
        <v>2.13000004672512</v>
      </c>
      <c r="B252" s="245">
        <v>0.5</v>
      </c>
    </row>
    <row r="253" spans="1:2" ht="15" customHeight="1">
      <c r="A253" s="464">
        <v>2.14000005031936</v>
      </c>
      <c r="B253" s="245">
        <v>0.5</v>
      </c>
    </row>
    <row r="254" spans="1:2" ht="15" customHeight="1">
      <c r="A254" s="464">
        <v>2.1500000539136</v>
      </c>
      <c r="B254" s="245">
        <v>0.5</v>
      </c>
    </row>
    <row r="255" spans="1:2" ht="15" customHeight="1">
      <c r="A255" s="464">
        <v>2.16000005750784</v>
      </c>
      <c r="B255" s="245">
        <v>0.5</v>
      </c>
    </row>
    <row r="256" spans="1:2" ht="15" customHeight="1">
      <c r="A256" s="464">
        <v>2.17000006110208</v>
      </c>
      <c r="B256" s="245">
        <v>0.5</v>
      </c>
    </row>
    <row r="257" spans="1:2" ht="15" customHeight="1">
      <c r="A257" s="464">
        <v>2.18000006469632</v>
      </c>
      <c r="B257" s="245">
        <v>0.5</v>
      </c>
    </row>
    <row r="258" spans="1:2" ht="15" customHeight="1">
      <c r="A258" s="464">
        <v>2.19000006829056</v>
      </c>
      <c r="B258" s="245">
        <v>0.5</v>
      </c>
    </row>
    <row r="259" spans="1:2" ht="15" customHeight="1">
      <c r="A259" s="464">
        <v>2.2000000718848</v>
      </c>
      <c r="B259" s="245">
        <v>0.5</v>
      </c>
    </row>
    <row r="260" spans="1:2" ht="15" customHeight="1">
      <c r="A260" s="464">
        <v>2.21000007547904</v>
      </c>
      <c r="B260" s="245">
        <v>0.5</v>
      </c>
    </row>
    <row r="261" spans="1:2" ht="15" customHeight="1">
      <c r="A261" s="464">
        <v>2.22000007907328</v>
      </c>
      <c r="B261" s="245">
        <v>0.5</v>
      </c>
    </row>
    <row r="262" spans="1:2" ht="15" customHeight="1">
      <c r="A262" s="464">
        <v>2.23000008266752</v>
      </c>
      <c r="B262" s="245">
        <v>0.5</v>
      </c>
    </row>
    <row r="263" spans="1:2" ht="15" customHeight="1">
      <c r="A263" s="464">
        <v>2.24000008626176</v>
      </c>
      <c r="B263" s="245">
        <v>0.5</v>
      </c>
    </row>
    <row r="264" spans="1:2" ht="15" customHeight="1">
      <c r="A264" s="464">
        <v>2.25</v>
      </c>
      <c r="B264" s="245">
        <v>0.51</v>
      </c>
    </row>
    <row r="265" spans="1:2" ht="15" customHeight="1">
      <c r="A265" s="464">
        <v>2.25999991373824</v>
      </c>
      <c r="B265" s="245">
        <v>0.51</v>
      </c>
    </row>
    <row r="266" spans="1:2" ht="15" customHeight="1">
      <c r="A266" s="464">
        <v>2.26999982747648</v>
      </c>
      <c r="B266" s="245">
        <v>0.51</v>
      </c>
    </row>
    <row r="267" spans="1:2" ht="15" customHeight="1">
      <c r="A267" s="464">
        <v>2.27999974121472</v>
      </c>
      <c r="B267" s="245">
        <v>0.51</v>
      </c>
    </row>
    <row r="268" spans="1:2" ht="15" customHeight="1">
      <c r="A268" s="464">
        <v>2.28999965495296</v>
      </c>
      <c r="B268" s="245">
        <v>0.51</v>
      </c>
    </row>
    <row r="269" spans="1:2" ht="15" customHeight="1">
      <c r="A269" s="464">
        <v>2.2999995686912</v>
      </c>
      <c r="B269" s="245">
        <v>0.51</v>
      </c>
    </row>
    <row r="270" spans="1:2" ht="15" customHeight="1">
      <c r="A270" s="464">
        <v>2.30999948242944</v>
      </c>
      <c r="B270" s="245">
        <v>0.51</v>
      </c>
    </row>
    <row r="271" spans="1:2" ht="15" customHeight="1">
      <c r="A271" s="464">
        <v>2.31999939616768</v>
      </c>
      <c r="B271" s="245">
        <v>0.51</v>
      </c>
    </row>
    <row r="272" spans="1:2" ht="15" customHeight="1">
      <c r="A272" s="464">
        <v>2.32999930990592</v>
      </c>
      <c r="B272" s="245">
        <v>0.51</v>
      </c>
    </row>
    <row r="273" spans="1:2" ht="15" customHeight="1">
      <c r="A273" s="464">
        <v>2.33999922364416</v>
      </c>
      <c r="B273" s="245">
        <v>0.51</v>
      </c>
    </row>
    <row r="274" spans="1:2" ht="15" customHeight="1">
      <c r="A274" s="464">
        <v>2.3499991373824</v>
      </c>
      <c r="B274" s="245">
        <v>0.51</v>
      </c>
    </row>
    <row r="275" spans="1:2" ht="15" customHeight="1">
      <c r="A275" s="464">
        <v>2.35999905112064</v>
      </c>
      <c r="B275" s="245">
        <v>0.51</v>
      </c>
    </row>
    <row r="276" spans="1:2" ht="15" customHeight="1">
      <c r="A276" s="464">
        <v>2.36999896485888</v>
      </c>
      <c r="B276" s="245">
        <v>0.51</v>
      </c>
    </row>
    <row r="277" spans="1:2" ht="15" customHeight="1">
      <c r="A277" s="464">
        <v>2.37999887859712</v>
      </c>
      <c r="B277" s="245">
        <v>0.51</v>
      </c>
    </row>
    <row r="278" spans="1:2" ht="15" customHeight="1">
      <c r="A278" s="464">
        <v>2.38999879233536</v>
      </c>
      <c r="B278" s="245">
        <v>0.51</v>
      </c>
    </row>
    <row r="279" spans="1:2" ht="15" customHeight="1">
      <c r="A279" s="464">
        <v>2.3999987060736</v>
      </c>
      <c r="B279" s="245">
        <v>0.51</v>
      </c>
    </row>
    <row r="280" spans="1:2" ht="15" customHeight="1">
      <c r="A280" s="464">
        <v>2.40999861981184</v>
      </c>
      <c r="B280" s="245">
        <v>0.51</v>
      </c>
    </row>
    <row r="281" spans="1:2" ht="15" customHeight="1">
      <c r="A281" s="464">
        <v>2.41999853355008</v>
      </c>
      <c r="B281" s="245">
        <v>0.51</v>
      </c>
    </row>
    <row r="282" spans="1:2" ht="15" customHeight="1">
      <c r="A282" s="464">
        <v>2.42999844728832</v>
      </c>
      <c r="B282" s="245">
        <v>0.51</v>
      </c>
    </row>
    <row r="283" spans="1:2" ht="15" customHeight="1">
      <c r="A283" s="464">
        <v>2.43999836102656</v>
      </c>
      <c r="B283" s="245">
        <v>0.51</v>
      </c>
    </row>
    <row r="284" spans="1:2" ht="15" customHeight="1">
      <c r="A284" s="464">
        <v>2.4499982747648</v>
      </c>
      <c r="B284" s="245">
        <v>0.51</v>
      </c>
    </row>
    <row r="285" spans="1:2" ht="15" customHeight="1">
      <c r="A285" s="464">
        <v>2.45999818850304</v>
      </c>
      <c r="B285" s="245">
        <v>0.51</v>
      </c>
    </row>
    <row r="286" spans="1:2" ht="15" customHeight="1">
      <c r="A286" s="464">
        <v>2.46999810224128</v>
      </c>
      <c r="B286" s="245">
        <v>0.51</v>
      </c>
    </row>
    <row r="287" spans="1:2" ht="15" customHeight="1">
      <c r="A287" s="464">
        <v>2.47999801597952</v>
      </c>
      <c r="B287" s="245">
        <v>0.51</v>
      </c>
    </row>
    <row r="288" spans="1:2" ht="15" customHeight="1">
      <c r="A288" s="464">
        <v>2.48999792971776</v>
      </c>
      <c r="B288" s="245">
        <v>0.51</v>
      </c>
    </row>
    <row r="289" spans="1:2" ht="15" customHeight="1">
      <c r="A289" s="464">
        <v>2.5</v>
      </c>
      <c r="B289" s="245">
        <v>0.51</v>
      </c>
    </row>
    <row r="290" spans="1:2" ht="15" customHeight="1">
      <c r="A290" s="464">
        <v>2.51000207028224</v>
      </c>
      <c r="B290" s="245">
        <v>0.51</v>
      </c>
    </row>
    <row r="291" spans="1:2" ht="15" customHeight="1">
      <c r="A291" s="464">
        <v>2.52000414056448</v>
      </c>
      <c r="B291" s="245">
        <v>0.51</v>
      </c>
    </row>
    <row r="292" spans="1:2" ht="15" customHeight="1">
      <c r="A292" s="464">
        <v>2.53000621084672</v>
      </c>
      <c r="B292" s="245">
        <v>0.51</v>
      </c>
    </row>
    <row r="293" spans="1:2" ht="15" customHeight="1">
      <c r="A293" s="464">
        <v>2.54000828112896</v>
      </c>
      <c r="B293" s="245">
        <v>0.51</v>
      </c>
    </row>
    <row r="294" spans="1:2" ht="15" customHeight="1">
      <c r="A294" s="464">
        <v>2.5500103514112</v>
      </c>
      <c r="B294" s="245">
        <v>0.51</v>
      </c>
    </row>
    <row r="295" spans="1:2" ht="15" customHeight="1">
      <c r="A295" s="464">
        <v>2.56001242169344</v>
      </c>
      <c r="B295" s="245">
        <v>0.51</v>
      </c>
    </row>
    <row r="296" spans="1:2" ht="15" customHeight="1">
      <c r="A296" s="464">
        <v>2.57001449197568</v>
      </c>
      <c r="B296" s="245">
        <v>0.51</v>
      </c>
    </row>
    <row r="297" spans="1:2" ht="15" customHeight="1">
      <c r="A297" s="464">
        <v>2.58001656225792</v>
      </c>
      <c r="B297" s="245">
        <v>0.51</v>
      </c>
    </row>
    <row r="298" spans="1:2" ht="15" customHeight="1">
      <c r="A298" s="464">
        <v>2.59001863254016</v>
      </c>
      <c r="B298" s="245">
        <v>0.51</v>
      </c>
    </row>
    <row r="299" spans="1:2" ht="15" customHeight="1">
      <c r="A299" s="464">
        <v>2.6000207028224</v>
      </c>
      <c r="B299" s="245">
        <v>0.51</v>
      </c>
    </row>
    <row r="300" spans="1:2" ht="15" customHeight="1">
      <c r="A300" s="464">
        <v>2.61002277310464</v>
      </c>
      <c r="B300" s="245">
        <v>0.51</v>
      </c>
    </row>
    <row r="301" spans="1:2" ht="15" customHeight="1">
      <c r="A301" s="464">
        <v>2.62002484338688</v>
      </c>
      <c r="B301" s="245">
        <v>0.51</v>
      </c>
    </row>
    <row r="302" spans="1:2" ht="15" customHeight="1">
      <c r="A302" s="464">
        <v>2.63002691366912</v>
      </c>
      <c r="B302" s="245">
        <v>0.51</v>
      </c>
    </row>
    <row r="303" spans="1:2" ht="15" customHeight="1">
      <c r="A303" s="464">
        <v>2.64002898395136</v>
      </c>
      <c r="B303" s="245">
        <v>0.51</v>
      </c>
    </row>
    <row r="304" spans="1:2" ht="15" customHeight="1">
      <c r="A304" s="464">
        <v>2.6500310542336</v>
      </c>
      <c r="B304" s="245">
        <v>0.51</v>
      </c>
    </row>
    <row r="305" spans="1:2" ht="15" customHeight="1">
      <c r="A305" s="464">
        <v>2.66003312451584</v>
      </c>
      <c r="B305" s="245">
        <v>0.51</v>
      </c>
    </row>
    <row r="306" spans="1:2" ht="15" customHeight="1">
      <c r="A306" s="464">
        <v>2.67003519479808</v>
      </c>
      <c r="B306" s="245">
        <v>0.51</v>
      </c>
    </row>
    <row r="307" spans="1:2" ht="15" customHeight="1">
      <c r="A307" s="464">
        <v>2.68003726508032</v>
      </c>
      <c r="B307" s="245">
        <v>0.51</v>
      </c>
    </row>
    <row r="308" spans="1:2" ht="15" customHeight="1">
      <c r="A308" s="464">
        <v>2.69003933536256</v>
      </c>
      <c r="B308" s="245">
        <v>0.51</v>
      </c>
    </row>
    <row r="309" spans="1:2" ht="15" customHeight="1">
      <c r="A309" s="464">
        <v>2.7000414056448</v>
      </c>
      <c r="B309" s="245">
        <v>0.51</v>
      </c>
    </row>
    <row r="310" spans="1:2" ht="15" customHeight="1">
      <c r="A310" s="464">
        <v>2.71004347592704</v>
      </c>
      <c r="B310" s="245">
        <v>0.51</v>
      </c>
    </row>
    <row r="311" spans="1:2" ht="15" customHeight="1">
      <c r="A311" s="464">
        <v>2.72004554620928</v>
      </c>
      <c r="B311" s="245">
        <v>0.51</v>
      </c>
    </row>
    <row r="312" spans="1:2" ht="15" customHeight="1">
      <c r="A312" s="464">
        <v>2.73004761649152</v>
      </c>
      <c r="B312" s="245">
        <v>0.51</v>
      </c>
    </row>
    <row r="313" spans="1:2" ht="15" customHeight="1">
      <c r="A313" s="464">
        <v>2.74004968677376</v>
      </c>
      <c r="B313" s="245">
        <v>0.51</v>
      </c>
    </row>
    <row r="314" spans="1:2" ht="15" customHeight="1">
      <c r="A314" s="464">
        <v>2.75</v>
      </c>
      <c r="B314" s="245">
        <v>0.51</v>
      </c>
    </row>
    <row r="315" spans="1:2" ht="15" customHeight="1">
      <c r="A315" s="464">
        <v>2.75995031322624</v>
      </c>
      <c r="B315" s="245">
        <v>0.51</v>
      </c>
    </row>
    <row r="316" spans="1:2" ht="15" customHeight="1">
      <c r="A316" s="464">
        <v>2.76990062645248</v>
      </c>
      <c r="B316" s="245">
        <v>0.51</v>
      </c>
    </row>
    <row r="317" spans="1:2" ht="15" customHeight="1">
      <c r="A317" s="464">
        <v>2.77985093967872</v>
      </c>
      <c r="B317" s="245">
        <v>0.51</v>
      </c>
    </row>
    <row r="318" spans="1:2" ht="15" customHeight="1">
      <c r="A318" s="464">
        <v>2.78980125290496</v>
      </c>
      <c r="B318" s="245">
        <v>0.51</v>
      </c>
    </row>
    <row r="319" spans="1:2" ht="15" customHeight="1">
      <c r="A319" s="464">
        <v>2.7997515661312</v>
      </c>
      <c r="B319" s="245">
        <v>0.51</v>
      </c>
    </row>
    <row r="320" spans="1:2" ht="15" customHeight="1">
      <c r="A320" s="464">
        <v>2.80970187935744</v>
      </c>
      <c r="B320" s="245">
        <v>0.51</v>
      </c>
    </row>
    <row r="321" spans="1:2" ht="15" customHeight="1">
      <c r="A321" s="464">
        <v>2.81965219258368</v>
      </c>
      <c r="B321" s="245">
        <v>0.51</v>
      </c>
    </row>
    <row r="322" spans="1:2" ht="15" customHeight="1">
      <c r="A322" s="464">
        <v>2.82960250580992</v>
      </c>
      <c r="B322" s="245">
        <v>0.51</v>
      </c>
    </row>
    <row r="323" spans="1:2" ht="15" customHeight="1">
      <c r="A323" s="464">
        <v>2.83955281903616</v>
      </c>
      <c r="B323" s="245">
        <v>0.51</v>
      </c>
    </row>
    <row r="324" spans="1:2" ht="15" customHeight="1">
      <c r="A324" s="464">
        <v>2.8495031322624</v>
      </c>
      <c r="B324" s="245">
        <v>0.51</v>
      </c>
    </row>
    <row r="325" spans="1:2" ht="15" customHeight="1">
      <c r="A325" s="464">
        <v>2.85945344548864</v>
      </c>
      <c r="B325" s="245">
        <v>0.51</v>
      </c>
    </row>
    <row r="326" spans="1:2" ht="15" customHeight="1">
      <c r="A326" s="464">
        <v>2.86940375871488</v>
      </c>
      <c r="B326" s="245">
        <v>0.51</v>
      </c>
    </row>
    <row r="327" spans="1:2" ht="15" customHeight="1">
      <c r="A327" s="464">
        <v>2.87935407194112</v>
      </c>
      <c r="B327" s="245">
        <v>0.51</v>
      </c>
    </row>
    <row r="328" spans="1:2" ht="15" customHeight="1">
      <c r="A328" s="464">
        <v>2.88930438516736</v>
      </c>
      <c r="B328" s="245">
        <v>0.51</v>
      </c>
    </row>
    <row r="329" spans="1:2" ht="15" customHeight="1">
      <c r="A329" s="464">
        <v>2.8992546983936</v>
      </c>
      <c r="B329" s="245">
        <v>0.51</v>
      </c>
    </row>
    <row r="330" spans="1:2" ht="15" customHeight="1">
      <c r="A330" s="464">
        <v>2.90920501161984</v>
      </c>
      <c r="B330" s="245">
        <v>0.51</v>
      </c>
    </row>
    <row r="331" spans="1:2" ht="15" customHeight="1">
      <c r="A331" s="464">
        <v>2.91915532484608</v>
      </c>
      <c r="B331" s="245">
        <v>0.51</v>
      </c>
    </row>
    <row r="332" spans="1:2" ht="15" customHeight="1">
      <c r="A332" s="464">
        <v>2.92910563807232</v>
      </c>
      <c r="B332" s="245">
        <v>0.51</v>
      </c>
    </row>
    <row r="333" spans="1:2" ht="15" customHeight="1">
      <c r="A333" s="464">
        <v>2.93905595129856</v>
      </c>
      <c r="B333" s="245">
        <v>0.51</v>
      </c>
    </row>
    <row r="334" spans="1:2" ht="15" customHeight="1">
      <c r="A334" s="464">
        <v>2.9490062645248</v>
      </c>
      <c r="B334" s="245">
        <v>0.51</v>
      </c>
    </row>
    <row r="335" spans="1:2" ht="15" customHeight="1">
      <c r="A335" s="464">
        <v>2.95895657775104</v>
      </c>
      <c r="B335" s="245">
        <v>0.51</v>
      </c>
    </row>
    <row r="336" spans="1:2" ht="15" customHeight="1">
      <c r="A336" s="464">
        <v>2.96890689097728</v>
      </c>
      <c r="B336" s="245">
        <v>0.51</v>
      </c>
    </row>
    <row r="337" spans="1:2" ht="15" customHeight="1">
      <c r="A337" s="464">
        <v>2.97885720420352</v>
      </c>
      <c r="B337" s="245">
        <v>0.51</v>
      </c>
    </row>
    <row r="338" spans="1:2" ht="15" customHeight="1">
      <c r="A338" s="464">
        <v>2.98880751742976</v>
      </c>
      <c r="B338" s="245">
        <v>0.51</v>
      </c>
    </row>
    <row r="339" spans="1:2" ht="15" customHeight="1">
      <c r="A339" s="464">
        <v>2.998757830656</v>
      </c>
      <c r="B339" s="245">
        <v>0.51</v>
      </c>
    </row>
    <row r="340" spans="1:2" ht="15" customHeight="1">
      <c r="A340" s="464">
        <v>3.00870814388224</v>
      </c>
      <c r="B340" s="245">
        <v>0.51</v>
      </c>
    </row>
    <row r="341" spans="1:2" ht="15" customHeight="1">
      <c r="A341" s="464">
        <v>3.01865845710848</v>
      </c>
      <c r="B341" s="245">
        <v>0.51</v>
      </c>
    </row>
    <row r="342" spans="1:2" ht="15" customHeight="1">
      <c r="A342" s="464">
        <v>3.02860877033472</v>
      </c>
      <c r="B342" s="245">
        <v>0.51</v>
      </c>
    </row>
    <row r="343" spans="1:2" ht="15" customHeight="1">
      <c r="A343" s="464">
        <v>3.03855908356096</v>
      </c>
      <c r="B343" s="245">
        <v>0.51</v>
      </c>
    </row>
    <row r="344" spans="1:2" ht="15" customHeight="1">
      <c r="A344" s="464">
        <v>3.0485093967872</v>
      </c>
      <c r="B344" s="245">
        <v>0.51</v>
      </c>
    </row>
    <row r="345" spans="1:2" ht="15" customHeight="1">
      <c r="A345" s="464">
        <v>3.05845971001344</v>
      </c>
      <c r="B345" s="245">
        <v>0.51</v>
      </c>
    </row>
    <row r="346" spans="1:2" ht="15" customHeight="1">
      <c r="A346" s="464">
        <v>3.06841002323968</v>
      </c>
      <c r="B346" s="245">
        <v>0.51</v>
      </c>
    </row>
    <row r="347" spans="1:2" ht="15" customHeight="1">
      <c r="A347" s="464">
        <v>3.07836033646592</v>
      </c>
      <c r="B347" s="245">
        <v>0.51</v>
      </c>
    </row>
    <row r="348" spans="1:2" ht="15" customHeight="1">
      <c r="A348" s="464">
        <v>3.08831064969216</v>
      </c>
      <c r="B348" s="245">
        <v>0.51</v>
      </c>
    </row>
    <row r="349" spans="1:2" ht="15" customHeight="1">
      <c r="A349" s="464">
        <v>3.0982609629184</v>
      </c>
      <c r="B349" s="245">
        <v>0.51</v>
      </c>
    </row>
    <row r="350" spans="1:2" ht="15" customHeight="1">
      <c r="A350" s="464">
        <v>3.10821127614464</v>
      </c>
      <c r="B350" s="245">
        <v>0.51</v>
      </c>
    </row>
    <row r="351" spans="1:2" ht="15" customHeight="1">
      <c r="A351" s="464">
        <v>3.11816158937088</v>
      </c>
      <c r="B351" s="245">
        <v>0.51</v>
      </c>
    </row>
    <row r="352" spans="1:2" ht="15" customHeight="1">
      <c r="A352" s="464">
        <v>3.12811190259712</v>
      </c>
      <c r="B352" s="245">
        <v>0.51</v>
      </c>
    </row>
    <row r="353" spans="1:2" ht="15" customHeight="1">
      <c r="A353" s="464">
        <v>3.13806221582336</v>
      </c>
      <c r="B353" s="245">
        <v>0.51</v>
      </c>
    </row>
    <row r="354" spans="1:2" ht="15" customHeight="1">
      <c r="A354" s="464">
        <v>3.1480125290496</v>
      </c>
      <c r="B354" s="245">
        <v>0.51</v>
      </c>
    </row>
    <row r="355" spans="1:2" ht="15" customHeight="1">
      <c r="A355" s="365"/>
      <c r="B355" s="242"/>
    </row>
  </sheetData>
  <sheetProtection/>
  <mergeCells count="105">
    <mergeCell ref="E52:H52"/>
    <mergeCell ref="A51:B51"/>
    <mergeCell ref="B52:B53"/>
    <mergeCell ref="K4:L4"/>
    <mergeCell ref="K5:L5"/>
    <mergeCell ref="A46:A49"/>
    <mergeCell ref="A42:A45"/>
    <mergeCell ref="A38:A41"/>
    <mergeCell ref="A29:H29"/>
    <mergeCell ref="K30:T30"/>
    <mergeCell ref="A34:A37"/>
    <mergeCell ref="R44:S44"/>
    <mergeCell ref="L45:M45"/>
    <mergeCell ref="N45:O45"/>
    <mergeCell ref="P45:Q45"/>
    <mergeCell ref="R45:S45"/>
    <mergeCell ref="L44:M44"/>
    <mergeCell ref="N44:O44"/>
    <mergeCell ref="P44:Q44"/>
    <mergeCell ref="R42:S42"/>
    <mergeCell ref="L43:M43"/>
    <mergeCell ref="N43:O43"/>
    <mergeCell ref="P43:Q43"/>
    <mergeCell ref="R43:S43"/>
    <mergeCell ref="L42:M42"/>
    <mergeCell ref="N42:O42"/>
    <mergeCell ref="P42:Q42"/>
    <mergeCell ref="R40:S40"/>
    <mergeCell ref="L41:M41"/>
    <mergeCell ref="N41:O41"/>
    <mergeCell ref="P41:Q41"/>
    <mergeCell ref="R41:S41"/>
    <mergeCell ref="L40:M40"/>
    <mergeCell ref="N40:O40"/>
    <mergeCell ref="P40:Q40"/>
    <mergeCell ref="R38:S38"/>
    <mergeCell ref="L39:M39"/>
    <mergeCell ref="N39:O39"/>
    <mergeCell ref="P39:Q39"/>
    <mergeCell ref="R39:S39"/>
    <mergeCell ref="L38:M38"/>
    <mergeCell ref="N38:O38"/>
    <mergeCell ref="P38:Q38"/>
    <mergeCell ref="K28:L28"/>
    <mergeCell ref="K34:S35"/>
    <mergeCell ref="K36:K37"/>
    <mergeCell ref="L36:O36"/>
    <mergeCell ref="P36:S36"/>
    <mergeCell ref="N37:O37"/>
    <mergeCell ref="R37:S37"/>
    <mergeCell ref="G26:G27"/>
    <mergeCell ref="H26:H27"/>
    <mergeCell ref="I26:I27"/>
    <mergeCell ref="K27:L27"/>
    <mergeCell ref="K22:L22"/>
    <mergeCell ref="A23:I24"/>
    <mergeCell ref="K23:L23"/>
    <mergeCell ref="A25:B25"/>
    <mergeCell ref="K25:R26"/>
    <mergeCell ref="A26:B27"/>
    <mergeCell ref="C26:C27"/>
    <mergeCell ref="D26:D27"/>
    <mergeCell ref="E26:E27"/>
    <mergeCell ref="F26:F27"/>
    <mergeCell ref="F20:G20"/>
    <mergeCell ref="H20:I20"/>
    <mergeCell ref="K20:S21"/>
    <mergeCell ref="F21:G21"/>
    <mergeCell ref="H21:I21"/>
    <mergeCell ref="F18:G18"/>
    <mergeCell ref="H18:I18"/>
    <mergeCell ref="F19:G19"/>
    <mergeCell ref="H19:I19"/>
    <mergeCell ref="F16:G16"/>
    <mergeCell ref="H16:I16"/>
    <mergeCell ref="F17:G17"/>
    <mergeCell ref="H17:I17"/>
    <mergeCell ref="F14:G14"/>
    <mergeCell ref="H14:I14"/>
    <mergeCell ref="F15:G15"/>
    <mergeCell ref="H15:I15"/>
    <mergeCell ref="E6:E7"/>
    <mergeCell ref="F6:F7"/>
    <mergeCell ref="F13:G13"/>
    <mergeCell ref="H13:I13"/>
    <mergeCell ref="C51:D51"/>
    <mergeCell ref="C52:C53"/>
    <mergeCell ref="I6:I7"/>
    <mergeCell ref="A10:A12"/>
    <mergeCell ref="B10:E10"/>
    <mergeCell ref="F10:I11"/>
    <mergeCell ref="B11:C11"/>
    <mergeCell ref="D11:E11"/>
    <mergeCell ref="F12:G12"/>
    <mergeCell ref="H12:I12"/>
    <mergeCell ref="A3:I4"/>
    <mergeCell ref="K3:R3"/>
    <mergeCell ref="M4:R4"/>
    <mergeCell ref="A9:I9"/>
    <mergeCell ref="A5:B5"/>
    <mergeCell ref="A6:B7"/>
    <mergeCell ref="C6:C7"/>
    <mergeCell ref="D6:D7"/>
    <mergeCell ref="G6:G7"/>
    <mergeCell ref="H6:H7"/>
  </mergeCells>
  <printOptions/>
  <pageMargins left="0.75" right="0.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6"/>
  </sheetPr>
  <dimension ref="A1:H87"/>
  <sheetViews>
    <sheetView showGridLines="0" workbookViewId="0" topLeftCell="A1">
      <selection activeCell="C25" sqref="C25"/>
    </sheetView>
  </sheetViews>
  <sheetFormatPr defaultColWidth="9.140625" defaultRowHeight="15.75" customHeight="1"/>
  <sheetData>
    <row r="1" spans="1:8" ht="15.75" customHeight="1">
      <c r="A1" s="1141" t="s">
        <v>444</v>
      </c>
      <c r="B1" s="1142"/>
      <c r="C1" s="1142"/>
      <c r="D1" s="1143"/>
      <c r="E1" s="1140"/>
      <c r="F1" s="793"/>
      <c r="G1" s="343"/>
      <c r="H1" s="343"/>
    </row>
    <row r="2" spans="1:5" ht="15.75" customHeight="1">
      <c r="A2" s="339" t="s">
        <v>80</v>
      </c>
      <c r="B2" s="341" t="s">
        <v>445</v>
      </c>
      <c r="C2" s="247" t="s">
        <v>446</v>
      </c>
      <c r="D2" s="346" t="s">
        <v>447</v>
      </c>
      <c r="E2" s="344"/>
    </row>
    <row r="3" spans="1:5" ht="15.75" customHeight="1">
      <c r="A3" s="339">
        <v>10</v>
      </c>
      <c r="B3" s="342">
        <v>0.1736</v>
      </c>
      <c r="C3" s="340">
        <v>0.9848</v>
      </c>
      <c r="D3" s="347">
        <v>0.1763</v>
      </c>
      <c r="E3" s="344"/>
    </row>
    <row r="4" spans="1:5" ht="15.75" customHeight="1">
      <c r="A4" s="339">
        <v>15</v>
      </c>
      <c r="B4" s="342">
        <v>0.2588</v>
      </c>
      <c r="C4" s="340">
        <v>0.9659</v>
      </c>
      <c r="D4" s="347">
        <v>0.2679</v>
      </c>
      <c r="E4" s="344"/>
    </row>
    <row r="5" spans="1:5" ht="15.75" customHeight="1">
      <c r="A5" s="339">
        <v>16</v>
      </c>
      <c r="B5" s="342">
        <v>0.2756</v>
      </c>
      <c r="C5" s="340">
        <v>0.9612</v>
      </c>
      <c r="D5" s="347">
        <v>0.2867</v>
      </c>
      <c r="E5" s="344"/>
    </row>
    <row r="6" spans="1:5" ht="15.75" customHeight="1">
      <c r="A6" s="339">
        <v>17</v>
      </c>
      <c r="B6" s="342">
        <v>0.2923</v>
      </c>
      <c r="C6" s="340">
        <v>0.9563</v>
      </c>
      <c r="D6" s="347">
        <v>0.3057</v>
      </c>
      <c r="E6" s="344"/>
    </row>
    <row r="7" spans="1:5" ht="15.75" customHeight="1">
      <c r="A7" s="339">
        <v>18</v>
      </c>
      <c r="B7" s="342">
        <v>0.309</v>
      </c>
      <c r="C7" s="340">
        <v>0.951</v>
      </c>
      <c r="D7" s="347">
        <v>0.3249</v>
      </c>
      <c r="E7" s="344"/>
    </row>
    <row r="8" spans="1:5" ht="15.75" customHeight="1">
      <c r="A8" s="339">
        <v>19</v>
      </c>
      <c r="B8" s="342">
        <v>0.3255</v>
      </c>
      <c r="C8" s="340">
        <v>0.9455</v>
      </c>
      <c r="D8" s="347">
        <v>0.3443</v>
      </c>
      <c r="E8" s="344"/>
    </row>
    <row r="9" spans="1:5" ht="15.75" customHeight="1">
      <c r="A9" s="339">
        <v>20</v>
      </c>
      <c r="B9" s="342">
        <v>0.342</v>
      </c>
      <c r="C9" s="340">
        <v>0.9396</v>
      </c>
      <c r="D9" s="347">
        <v>0.3639</v>
      </c>
      <c r="E9" s="344"/>
    </row>
    <row r="10" spans="1:5" ht="15.75" customHeight="1">
      <c r="A10" s="339">
        <v>21</v>
      </c>
      <c r="B10" s="342">
        <v>0.3583</v>
      </c>
      <c r="C10" s="340">
        <v>0.9335</v>
      </c>
      <c r="D10" s="347">
        <v>0.3838</v>
      </c>
      <c r="E10" s="344"/>
    </row>
    <row r="11" spans="1:5" ht="15.75" customHeight="1">
      <c r="A11" s="339">
        <v>22</v>
      </c>
      <c r="B11" s="342">
        <v>0.3746</v>
      </c>
      <c r="C11" s="340">
        <v>0.9271</v>
      </c>
      <c r="D11" s="347">
        <v>0.404</v>
      </c>
      <c r="E11" s="344"/>
    </row>
    <row r="12" spans="1:5" ht="15.75" customHeight="1">
      <c r="A12" s="339">
        <v>23</v>
      </c>
      <c r="B12" s="342">
        <v>0.3907</v>
      </c>
      <c r="C12" s="340">
        <v>0.9205</v>
      </c>
      <c r="D12" s="347">
        <v>0.4244</v>
      </c>
      <c r="E12" s="344"/>
    </row>
    <row r="13" spans="1:5" ht="15.75" customHeight="1">
      <c r="A13" s="339">
        <v>24</v>
      </c>
      <c r="B13" s="342">
        <v>0.4067</v>
      </c>
      <c r="C13" s="340">
        <v>0.9235</v>
      </c>
      <c r="D13" s="347">
        <v>0.4452</v>
      </c>
      <c r="E13" s="344"/>
    </row>
    <row r="14" spans="1:5" ht="15.75" customHeight="1">
      <c r="A14" s="339">
        <v>25</v>
      </c>
      <c r="B14" s="342">
        <v>0.422</v>
      </c>
      <c r="C14" s="340">
        <v>0.9063</v>
      </c>
      <c r="D14" s="347">
        <v>0.4663</v>
      </c>
      <c r="E14" s="344"/>
    </row>
    <row r="15" spans="1:5" ht="15.75" customHeight="1">
      <c r="A15" s="339">
        <v>30</v>
      </c>
      <c r="B15" s="342">
        <v>0.5</v>
      </c>
      <c r="C15" s="340">
        <v>0.866</v>
      </c>
      <c r="D15" s="347">
        <v>0.5773</v>
      </c>
      <c r="E15" s="344"/>
    </row>
    <row r="16" spans="1:5" ht="15.75" customHeight="1">
      <c r="A16" s="339">
        <v>35</v>
      </c>
      <c r="B16" s="342">
        <v>0.573</v>
      </c>
      <c r="C16" s="340">
        <v>0.8191</v>
      </c>
      <c r="D16" s="347">
        <v>0.7</v>
      </c>
      <c r="E16" s="344"/>
    </row>
    <row r="17" spans="1:5" ht="15.75" customHeight="1">
      <c r="A17" s="339">
        <v>40</v>
      </c>
      <c r="B17" s="342">
        <v>0.643</v>
      </c>
      <c r="C17" s="340">
        <v>0.766</v>
      </c>
      <c r="D17" s="347">
        <v>0.8391</v>
      </c>
      <c r="E17" s="344"/>
    </row>
    <row r="18" spans="1:5" ht="15.75" customHeight="1">
      <c r="A18" s="339">
        <v>45</v>
      </c>
      <c r="B18" s="342">
        <v>0.707</v>
      </c>
      <c r="C18" s="340">
        <v>0.7071</v>
      </c>
      <c r="D18" s="347">
        <v>1</v>
      </c>
      <c r="E18" s="344"/>
    </row>
    <row r="19" spans="1:5" ht="15.75" customHeight="1">
      <c r="A19" s="339">
        <v>50</v>
      </c>
      <c r="B19" s="342">
        <v>0.766</v>
      </c>
      <c r="C19" s="340">
        <v>0.6427</v>
      </c>
      <c r="D19" s="347">
        <v>1.1917</v>
      </c>
      <c r="E19" s="344"/>
    </row>
    <row r="20" spans="1:5" ht="15.75" customHeight="1">
      <c r="A20" s="339">
        <v>55</v>
      </c>
      <c r="B20" s="342">
        <v>0.819</v>
      </c>
      <c r="C20" s="340">
        <v>0.5735</v>
      </c>
      <c r="D20" s="347">
        <v>1.4281</v>
      </c>
      <c r="E20" s="344"/>
    </row>
    <row r="21" spans="1:5" ht="15.75" customHeight="1">
      <c r="A21" s="339">
        <v>60</v>
      </c>
      <c r="B21" s="342">
        <v>0.866</v>
      </c>
      <c r="C21" s="340">
        <v>0.5</v>
      </c>
      <c r="D21" s="347">
        <v>1.732</v>
      </c>
      <c r="E21" s="344"/>
    </row>
    <row r="22" spans="1:5" ht="15.75" customHeight="1">
      <c r="A22" s="339">
        <v>65</v>
      </c>
      <c r="B22" s="342">
        <v>0.906</v>
      </c>
      <c r="C22" s="340">
        <v>0.4226</v>
      </c>
      <c r="D22" s="347">
        <v>2.1445</v>
      </c>
      <c r="E22" s="344"/>
    </row>
    <row r="24" spans="1:3" ht="15.75" customHeight="1">
      <c r="A24" s="343"/>
      <c r="B24" s="343"/>
      <c r="C24" s="348"/>
    </row>
    <row r="25" spans="1:3" ht="15.75" customHeight="1">
      <c r="A25" s="345"/>
      <c r="B25" s="345"/>
      <c r="C25" s="348"/>
    </row>
    <row r="26" spans="1:3" ht="15.75" customHeight="1">
      <c r="A26" s="345"/>
      <c r="B26" s="349"/>
      <c r="C26" s="348"/>
    </row>
    <row r="27" spans="1:3" ht="15.75" customHeight="1">
      <c r="A27" s="345"/>
      <c r="B27" s="349"/>
      <c r="C27" s="348"/>
    </row>
    <row r="28" spans="1:3" ht="15.75" customHeight="1">
      <c r="A28" s="345"/>
      <c r="B28" s="349"/>
      <c r="C28" s="348"/>
    </row>
    <row r="29" spans="1:3" ht="15.75" customHeight="1">
      <c r="A29" s="345"/>
      <c r="B29" s="349"/>
      <c r="C29" s="348"/>
    </row>
    <row r="30" spans="1:3" ht="15.75" customHeight="1">
      <c r="A30" s="345"/>
      <c r="B30" s="349"/>
      <c r="C30" s="348"/>
    </row>
    <row r="31" spans="1:3" ht="15.75" customHeight="1">
      <c r="A31" s="345"/>
      <c r="B31" s="349"/>
      <c r="C31" s="348"/>
    </row>
    <row r="32" spans="1:3" ht="15.75" customHeight="1">
      <c r="A32" s="345"/>
      <c r="B32" s="349"/>
      <c r="C32" s="348"/>
    </row>
    <row r="33" spans="1:3" ht="15.75" customHeight="1">
      <c r="A33" s="345"/>
      <c r="B33" s="349"/>
      <c r="C33" s="348"/>
    </row>
    <row r="34" spans="1:3" ht="15.75" customHeight="1">
      <c r="A34" s="345"/>
      <c r="B34" s="349"/>
      <c r="C34" s="348"/>
    </row>
    <row r="35" spans="1:3" ht="15.75" customHeight="1">
      <c r="A35" s="345"/>
      <c r="B35" s="349"/>
      <c r="C35" s="348"/>
    </row>
    <row r="36" spans="1:3" ht="15.75" customHeight="1">
      <c r="A36" s="345"/>
      <c r="B36" s="349"/>
      <c r="C36" s="348"/>
    </row>
    <row r="37" spans="1:3" ht="15.75" customHeight="1">
      <c r="A37" s="345"/>
      <c r="B37" s="349"/>
      <c r="C37" s="348"/>
    </row>
    <row r="38" spans="1:3" ht="15.75" customHeight="1">
      <c r="A38" s="345"/>
      <c r="B38" s="349"/>
      <c r="C38" s="348"/>
    </row>
    <row r="39" spans="1:3" ht="15.75" customHeight="1">
      <c r="A39" s="345"/>
      <c r="B39" s="349"/>
      <c r="C39" s="348"/>
    </row>
    <row r="40" spans="1:3" ht="15.75" customHeight="1">
      <c r="A40" s="345"/>
      <c r="B40" s="349"/>
      <c r="C40" s="348"/>
    </row>
    <row r="41" spans="1:3" ht="15.75" customHeight="1">
      <c r="A41" s="345"/>
      <c r="B41" s="349"/>
      <c r="C41" s="348"/>
    </row>
    <row r="42" spans="1:3" ht="15.75" customHeight="1">
      <c r="A42" s="345"/>
      <c r="B42" s="349"/>
      <c r="C42" s="348"/>
    </row>
    <row r="43" spans="1:3" ht="15.75" customHeight="1">
      <c r="A43" s="345"/>
      <c r="B43" s="349"/>
      <c r="C43" s="348"/>
    </row>
    <row r="44" spans="1:3" ht="15.75" customHeight="1">
      <c r="A44" s="345"/>
      <c r="B44" s="349"/>
      <c r="C44" s="348"/>
    </row>
    <row r="45" spans="1:3" ht="15.75" customHeight="1">
      <c r="A45" s="345"/>
      <c r="B45" s="349"/>
      <c r="C45" s="348"/>
    </row>
    <row r="46" spans="1:3" ht="15.75" customHeight="1">
      <c r="A46" s="348"/>
      <c r="B46" s="348"/>
      <c r="C46" s="348"/>
    </row>
    <row r="47" spans="1:3" ht="15.75" customHeight="1">
      <c r="A47" s="343"/>
      <c r="B47" s="343"/>
      <c r="C47" s="348"/>
    </row>
    <row r="48" spans="1:3" ht="15.75" customHeight="1">
      <c r="A48" s="345"/>
      <c r="B48" s="345"/>
      <c r="C48" s="348"/>
    </row>
    <row r="49" spans="1:3" ht="15.75" customHeight="1">
      <c r="A49" s="345"/>
      <c r="B49" s="349"/>
      <c r="C49" s="348"/>
    </row>
    <row r="50" spans="1:3" ht="15.75" customHeight="1">
      <c r="A50" s="345"/>
      <c r="B50" s="349"/>
      <c r="C50" s="348"/>
    </row>
    <row r="51" spans="1:3" ht="15.75" customHeight="1">
      <c r="A51" s="345"/>
      <c r="B51" s="349"/>
      <c r="C51" s="348"/>
    </row>
    <row r="52" spans="1:3" ht="15.75" customHeight="1">
      <c r="A52" s="345"/>
      <c r="B52" s="349"/>
      <c r="C52" s="348"/>
    </row>
    <row r="53" spans="1:3" ht="15.75" customHeight="1">
      <c r="A53" s="345"/>
      <c r="B53" s="349"/>
      <c r="C53" s="348"/>
    </row>
    <row r="54" spans="1:3" ht="15.75" customHeight="1">
      <c r="A54" s="345"/>
      <c r="B54" s="349"/>
      <c r="C54" s="348"/>
    </row>
    <row r="55" spans="1:3" ht="15.75" customHeight="1">
      <c r="A55" s="345"/>
      <c r="B55" s="349"/>
      <c r="C55" s="348"/>
    </row>
    <row r="56" spans="1:3" ht="15.75" customHeight="1">
      <c r="A56" s="345"/>
      <c r="B56" s="349"/>
      <c r="C56" s="348"/>
    </row>
    <row r="57" spans="1:3" ht="15.75" customHeight="1">
      <c r="A57" s="345"/>
      <c r="B57" s="349"/>
      <c r="C57" s="348"/>
    </row>
    <row r="58" spans="1:3" ht="15.75" customHeight="1">
      <c r="A58" s="345"/>
      <c r="B58" s="349"/>
      <c r="C58" s="348"/>
    </row>
    <row r="59" spans="1:3" ht="15.75" customHeight="1">
      <c r="A59" s="345"/>
      <c r="B59" s="349"/>
      <c r="C59" s="348"/>
    </row>
    <row r="60" spans="1:3" ht="15.75" customHeight="1">
      <c r="A60" s="345"/>
      <c r="B60" s="349"/>
      <c r="C60" s="348"/>
    </row>
    <row r="61" spans="1:3" ht="15.75" customHeight="1">
      <c r="A61" s="345"/>
      <c r="B61" s="349"/>
      <c r="C61" s="348"/>
    </row>
    <row r="62" spans="1:3" ht="15.75" customHeight="1">
      <c r="A62" s="345"/>
      <c r="B62" s="349"/>
      <c r="C62" s="348"/>
    </row>
    <row r="63" spans="1:3" ht="15.75" customHeight="1">
      <c r="A63" s="345"/>
      <c r="B63" s="349"/>
      <c r="C63" s="348"/>
    </row>
    <row r="64" spans="1:3" ht="15.75" customHeight="1">
      <c r="A64" s="345"/>
      <c r="B64" s="349"/>
      <c r="C64" s="348"/>
    </row>
    <row r="65" spans="1:3" ht="15.75" customHeight="1">
      <c r="A65" s="345"/>
      <c r="B65" s="349"/>
      <c r="C65" s="348"/>
    </row>
    <row r="66" spans="1:3" ht="15.75" customHeight="1">
      <c r="A66" s="345"/>
      <c r="B66" s="349"/>
      <c r="C66" s="348"/>
    </row>
    <row r="67" spans="1:3" ht="15.75" customHeight="1">
      <c r="A67" s="345"/>
      <c r="B67" s="349"/>
      <c r="C67" s="348"/>
    </row>
    <row r="68" spans="1:3" ht="15.75" customHeight="1">
      <c r="A68" s="345"/>
      <c r="B68" s="349"/>
      <c r="C68" s="348"/>
    </row>
    <row r="69" spans="1:3" ht="15.75" customHeight="1">
      <c r="A69" s="348"/>
      <c r="B69" s="348"/>
      <c r="C69" s="348"/>
    </row>
    <row r="70" spans="1:3" ht="15.75" customHeight="1">
      <c r="A70" s="348"/>
      <c r="B70" s="348"/>
      <c r="C70" s="348"/>
    </row>
    <row r="71" spans="1:3" ht="15.75" customHeight="1">
      <c r="A71" s="348"/>
      <c r="B71" s="348"/>
      <c r="C71" s="348"/>
    </row>
    <row r="72" spans="1:3" ht="15.75" customHeight="1">
      <c r="A72" s="348"/>
      <c r="B72" s="348"/>
      <c r="C72" s="348"/>
    </row>
    <row r="73" spans="1:3" ht="15.75" customHeight="1">
      <c r="A73" s="348"/>
      <c r="B73" s="348"/>
      <c r="C73" s="348"/>
    </row>
    <row r="74" spans="1:3" ht="15.75" customHeight="1">
      <c r="A74" s="348"/>
      <c r="B74" s="348"/>
      <c r="C74" s="348"/>
    </row>
    <row r="75" spans="1:3" ht="15.75" customHeight="1">
      <c r="A75" s="348"/>
      <c r="B75" s="348"/>
      <c r="C75" s="348"/>
    </row>
    <row r="76" spans="1:3" ht="15.75" customHeight="1">
      <c r="A76" s="348"/>
      <c r="B76" s="348"/>
      <c r="C76" s="348"/>
    </row>
    <row r="77" spans="1:3" ht="15.75" customHeight="1">
      <c r="A77" s="348"/>
      <c r="B77" s="348"/>
      <c r="C77" s="348"/>
    </row>
    <row r="78" spans="1:3" ht="15.75" customHeight="1">
      <c r="A78" s="348"/>
      <c r="B78" s="348"/>
      <c r="C78" s="348"/>
    </row>
    <row r="79" spans="1:3" ht="15.75" customHeight="1">
      <c r="A79" s="348"/>
      <c r="B79" s="348"/>
      <c r="C79" s="348"/>
    </row>
    <row r="80" spans="1:3" ht="15.75" customHeight="1">
      <c r="A80" s="348"/>
      <c r="B80" s="348"/>
      <c r="C80" s="348"/>
    </row>
    <row r="81" spans="1:3" ht="15.75" customHeight="1">
      <c r="A81" s="348"/>
      <c r="B81" s="348"/>
      <c r="C81" s="348"/>
    </row>
    <row r="82" spans="1:3" ht="15.75" customHeight="1">
      <c r="A82" s="348"/>
      <c r="B82" s="348"/>
      <c r="C82" s="348"/>
    </row>
    <row r="83" spans="1:3" ht="15.75" customHeight="1">
      <c r="A83" s="348"/>
      <c r="B83" s="348"/>
      <c r="C83" s="348"/>
    </row>
    <row r="84" spans="1:3" ht="15.75" customHeight="1">
      <c r="A84" s="348"/>
      <c r="B84" s="348"/>
      <c r="C84" s="348"/>
    </row>
    <row r="85" spans="1:3" ht="15.75" customHeight="1">
      <c r="A85" s="348"/>
      <c r="B85" s="348"/>
      <c r="C85" s="348"/>
    </row>
    <row r="86" spans="1:3" ht="15.75" customHeight="1">
      <c r="A86" s="348"/>
      <c r="B86" s="348"/>
      <c r="C86" s="348"/>
    </row>
    <row r="87" spans="1:3" ht="15.75" customHeight="1">
      <c r="A87" s="348"/>
      <c r="B87" s="348"/>
      <c r="C87" s="348"/>
    </row>
  </sheetData>
  <sheetProtection password="DC95" sheet="1" objects="1" scenarios="1"/>
  <mergeCells count="2">
    <mergeCell ref="E1:F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Retaining wall</dc:title>
  <dc:subject>Retaining wall with sloping back fill</dc:subject>
  <dc:creator>pk_nandwana@yahoo.co.in</dc:creator>
  <cp:keywords/>
  <dc:description/>
  <cp:lastModifiedBy>india2world@ymail.com</cp:lastModifiedBy>
  <cp:lastPrinted>2010-05-23T03:30:42Z</cp:lastPrinted>
  <dcterms:created xsi:type="dcterms:W3CDTF">1996-10-14T23:33:28Z</dcterms:created>
  <dcterms:modified xsi:type="dcterms:W3CDTF">2010-09-26T14:51:57Z</dcterms:modified>
  <cp:category/>
  <cp:version/>
  <cp:contentType/>
  <cp:contentStatus/>
</cp:coreProperties>
</file>