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50" windowHeight="12390" tabRatio="845" activeTab="0"/>
  </bookViews>
  <sheets>
    <sheet name="Home" sheetId="1" r:id="rId1"/>
    <sheet name="Acceleration" sheetId="2" r:id="rId2"/>
    <sheet name="Plane Angle" sheetId="3" r:id="rId3"/>
    <sheet name="Solid Angle" sheetId="4" r:id="rId4"/>
    <sheet name="Area" sheetId="5" r:id="rId5"/>
    <sheet name="Force per Unit Volume" sheetId="6" r:id="rId6"/>
    <sheet name="Distance; Length" sheetId="7" r:id="rId7"/>
    <sheet name="Energy;Work;Heat" sheetId="8" r:id="rId8"/>
    <sheet name="Flow" sheetId="9" r:id="rId9"/>
    <sheet name="Force;Weight" sheetId="10" r:id="rId10"/>
    <sheet name="Pressure; Stress" sheetId="11" r:id="rId11"/>
    <sheet name="Force per Unit Length" sheetId="12" r:id="rId12"/>
    <sheet name="Illumination" sheetId="13" r:id="rId13"/>
    <sheet name="MomentOfInertia" sheetId="14" r:id="rId14"/>
    <sheet name="Power" sheetId="15" r:id="rId15"/>
    <sheet name="Moment; Torque" sheetId="16" r:id="rId16"/>
    <sheet name="Section Modulus" sheetId="17" r:id="rId17"/>
    <sheet name="Speed" sheetId="18" r:id="rId18"/>
    <sheet name="Velocity (Angular)" sheetId="19" r:id="rId19"/>
    <sheet name="Temperature" sheetId="20" r:id="rId20"/>
    <sheet name="Time" sheetId="21" r:id="rId21"/>
    <sheet name="Viscosity-Dynamic" sheetId="22" r:id="rId22"/>
    <sheet name="Viscosity-Kinematic" sheetId="23" r:id="rId23"/>
    <sheet name="Volume" sheetId="24" r:id="rId24"/>
    <sheet name="Decimals" sheetId="25" r:id="rId25"/>
    <sheet name="Features" sheetId="26" r:id="rId26"/>
    <sheet name="Notes" sheetId="27" r:id="rId27"/>
    <sheet name="Consistent Units" sheetId="28" r:id="rId28"/>
    <sheet name="Terms" sheetId="29" r:id="rId29"/>
    <sheet name="Rev" sheetId="30" r:id="rId30"/>
  </sheets>
  <externalReferences>
    <externalReference r:id="rId33"/>
  </externalReferences>
  <definedNames>
    <definedName name="Esteel" hidden="1">200000</definedName>
    <definedName name="Loads" hidden="1">'[1]Welds'!$K$9:$K$10,'[1]Welds'!$J$13:$J$15,'[1]Welds'!$K$14,'[1]Welds'!$K$15:$L$15,'[1]Welds'!$L$13:$M$13,'[1]Welds'!$M$14,'[1]Welds'!$K$18:$M$18</definedName>
    <definedName name="_xlnm.Print_Area" localSheetId="1">'Acceleration'!$A$1:$E$15</definedName>
    <definedName name="_xlnm.Print_Area" localSheetId="4">'Area'!$A$1:$E$21</definedName>
    <definedName name="_xlnm.Print_Area" localSheetId="27">'Consistent Units'!$A$1:$J$25</definedName>
    <definedName name="_xlnm.Print_Area" localSheetId="24">'Decimals'!$A$1:$E$10</definedName>
    <definedName name="_xlnm.Print_Area" localSheetId="6">'Distance; Length'!$A$1:$E$25</definedName>
    <definedName name="_xlnm.Print_Area" localSheetId="7">'Energy;Work;Heat'!$A$1:$E$16</definedName>
    <definedName name="_xlnm.Print_Area" localSheetId="25">'Features'!$A$2:$D$39</definedName>
    <definedName name="_xlnm.Print_Area" localSheetId="8">'Flow'!$A$1:$E$41</definedName>
    <definedName name="_xlnm.Print_Area" localSheetId="11">'Force per Unit Length'!$A$1:$E$28</definedName>
    <definedName name="_xlnm.Print_Area" localSheetId="5">'Force per Unit Volume'!$A$1:$E$25</definedName>
    <definedName name="_xlnm.Print_Area" localSheetId="9">'Force;Weight'!$A$1:$E$29</definedName>
    <definedName name="_xlnm.Print_Area" localSheetId="0">'Home'!$A$1:$F$28</definedName>
    <definedName name="_xlnm.Print_Area" localSheetId="12">'Illumination'!$A$1:$E$6</definedName>
    <definedName name="_xlnm.Print_Area" localSheetId="15">'Moment; Torque'!$A$1:$E$24</definedName>
    <definedName name="_xlnm.Print_Area" localSheetId="13">'MomentOfInertia'!$A$1:$E$14</definedName>
    <definedName name="_xlnm.Print_Area" localSheetId="26">'Notes'!$A$2:$D$177</definedName>
    <definedName name="_xlnm.Print_Area" localSheetId="2">'Plane Angle'!$A$1:$E$14</definedName>
    <definedName name="_xlnm.Print_Area" localSheetId="14">'Power'!$A$1:$E$19</definedName>
    <definedName name="_xlnm.Print_Area" localSheetId="10">'Pressure; Stress'!$A$1:$E$39</definedName>
    <definedName name="_xlnm.Print_Area" localSheetId="29">'Rev'!$A$1:$D$9</definedName>
    <definedName name="_xlnm.Print_Area" localSheetId="16">'Section Modulus'!$A$1:$E$14</definedName>
    <definedName name="_xlnm.Print_Area" localSheetId="3">'Solid Angle'!$A$1:$E$7</definedName>
    <definedName name="_xlnm.Print_Area" localSheetId="17">'Speed'!$A$1:$E$28</definedName>
    <definedName name="_xlnm.Print_Area" localSheetId="19">'Temperature'!$A$1:$E$7</definedName>
    <definedName name="_xlnm.Print_Area" localSheetId="28">'Terms'!$A$1:$D$22</definedName>
    <definedName name="_xlnm.Print_Area" localSheetId="20">'Time'!$A$1:$E$18</definedName>
    <definedName name="_xlnm.Print_Area" localSheetId="18">'Velocity (Angular)'!$A$1:$E$7</definedName>
    <definedName name="_xlnm.Print_Area" localSheetId="21">'Viscosity-Dynamic'!$A$1:$E$13</definedName>
    <definedName name="_xlnm.Print_Area" localSheetId="22">'Viscosity-Kinematic'!$A$1:$E$13</definedName>
    <definedName name="_xlnm.Print_Area" localSheetId="23">'Volume'!$A$1:$E$40</definedName>
    <definedName name="_xlnm.Print_Titles" localSheetId="25">'Features'!$1:$1</definedName>
    <definedName name="_xlnm.Print_Titles" localSheetId="26">'Notes'!$1:$1</definedName>
    <definedName name="ScrollNotes" hidden="1">#REF!</definedName>
  </definedNames>
  <calcPr fullCalcOnLoad="1"/>
</workbook>
</file>

<file path=xl/comments11.xml><?xml version="1.0" encoding="utf-8"?>
<comments xmlns="http://schemas.openxmlformats.org/spreadsheetml/2006/main">
  <authors>
    <author>S Khan</author>
  </authors>
  <commentList>
    <comment ref="D6" authorId="0">
      <text>
        <r>
          <rPr>
            <sz val="9"/>
            <color indexed="12"/>
            <rFont val="Tahoma"/>
            <family val="2"/>
          </rPr>
          <t>Megapascal = 10</t>
        </r>
        <r>
          <rPr>
            <vertAlign val="superscript"/>
            <sz val="9"/>
            <color indexed="12"/>
            <rFont val="Tahoma"/>
            <family val="2"/>
          </rPr>
          <t>6</t>
        </r>
        <r>
          <rPr>
            <sz val="9"/>
            <color indexed="12"/>
            <rFont val="Tahoma"/>
            <family val="2"/>
          </rPr>
          <t xml:space="preserve"> Pascals</t>
        </r>
      </text>
    </comment>
    <comment ref="D4" authorId="0">
      <text>
        <r>
          <rPr>
            <sz val="9"/>
            <color indexed="12"/>
            <rFont val="Tahoma"/>
            <family val="2"/>
          </rPr>
          <t>Pascal= 1 N / m</t>
        </r>
        <r>
          <rPr>
            <vertAlign val="superscript"/>
            <sz val="9"/>
            <color indexed="12"/>
            <rFont val="Tahoma"/>
            <family val="2"/>
          </rPr>
          <t>2</t>
        </r>
      </text>
    </comment>
  </commentList>
</comments>
</file>

<file path=xl/comments18.xml><?xml version="1.0" encoding="utf-8"?>
<comments xmlns="http://schemas.openxmlformats.org/spreadsheetml/2006/main">
  <authors>
    <author>S Khan</author>
  </authors>
  <commentList>
    <comment ref="D14" authorId="0">
      <text>
        <r>
          <rPr>
            <sz val="9"/>
            <color indexed="12"/>
            <rFont val="Tahoma"/>
            <family val="2"/>
          </rPr>
          <t>Speed of light in vacuum @ 299792458 m/s</t>
        </r>
      </text>
    </comment>
  </commentList>
</comments>
</file>

<file path=xl/comments7.xml><?xml version="1.0" encoding="utf-8"?>
<comments xmlns="http://schemas.openxmlformats.org/spreadsheetml/2006/main">
  <authors>
    <author>S Khan</author>
  </authors>
  <commentList>
    <comment ref="D21" authorId="0">
      <text>
        <r>
          <rPr>
            <sz val="9"/>
            <color indexed="12"/>
            <rFont val="Tahoma"/>
            <family val="2"/>
          </rPr>
          <t>International nautical mile is an exact length of 1852 m</t>
        </r>
      </text>
    </comment>
    <comment ref="D24" authorId="0">
      <text>
        <r>
          <rPr>
            <sz val="9"/>
            <color indexed="12"/>
            <rFont val="Tahoma"/>
            <family val="2"/>
          </rPr>
          <t>Distance at which the mean radius of the earth’s orbit subtends an angle of one second of arc.</t>
        </r>
      </text>
    </comment>
    <comment ref="D3" authorId="0">
      <text>
        <r>
          <rPr>
            <sz val="9"/>
            <color indexed="12"/>
            <rFont val="Tahoma"/>
            <family val="2"/>
          </rPr>
          <t>a unit of length equal to 10</t>
        </r>
        <r>
          <rPr>
            <vertAlign val="superscript"/>
            <sz val="9"/>
            <color indexed="12"/>
            <rFont val="Tahoma"/>
            <family val="2"/>
          </rPr>
          <t>-10</t>
        </r>
        <r>
          <rPr>
            <sz val="9"/>
            <color indexed="12"/>
            <rFont val="Tahoma"/>
            <family val="2"/>
          </rPr>
          <t xml:space="preserve"> metre (symbol Å).
[named after A.J. Ångström, Swedish physicist d. 1874]</t>
        </r>
      </text>
    </comment>
    <comment ref="D22" authorId="0">
      <text>
        <r>
          <rPr>
            <sz val="9"/>
            <color indexed="12"/>
            <rFont val="Tahoma"/>
            <family val="2"/>
          </rPr>
          <t>UK nautical mile is a length of 6080 ft</t>
        </r>
      </text>
    </comment>
  </commentList>
</comments>
</file>

<file path=xl/sharedStrings.xml><?xml version="1.0" encoding="utf-8"?>
<sst xmlns="http://schemas.openxmlformats.org/spreadsheetml/2006/main" count="949" uniqueCount="787">
  <si>
    <t>Ratio of the speed of a body to the speed of sound in the surrounding medium, used with a numeral (as Mach 1, Mach 2, etc.) to indicate the speed of sound, twice the speed of sound, etc. A value for the speed of sound of 331.46 metres/second in dry air at a temperature of 0 degC has been used in this template.</t>
  </si>
  <si>
    <t>Sometimes referred to as a small Calorie, it is the energy needed to raise the temperature of 1 gram of water through 1 °C, now usually defined as equal to 4.1868 joules.</t>
  </si>
  <si>
    <t>A large calorie, usually referred to simply as a calorie and sometimes as a kilogram calorie, equals 1000 calories.  It is the unit used to express the energy producing value of food in the calculation of diets.</t>
  </si>
  <si>
    <t>It is the SI unit of work or energy equal to the work done by a force of one Newton when its point of application moves one metre in the direction of action of the force, equivalent to a watt-second (symbol J) [named after J. P. Joule, English physicist d. 1889].</t>
  </si>
  <si>
    <t>a linear measure equal to 1,760 yards (also statute mile)</t>
  </si>
  <si>
    <t>a unit used in measuring distances at sea, equal to 1,852 metres</t>
  </si>
  <si>
    <t>Places to the Right of the Decimal</t>
  </si>
  <si>
    <t>Number of Places</t>
  </si>
  <si>
    <r>
      <t xml:space="preserve">DENSITY; FORCE or WEIGHT/UNIT-VOLUME [ FL </t>
    </r>
    <r>
      <rPr>
        <b/>
        <vertAlign val="superscript"/>
        <sz val="10"/>
        <rFont val="Arial"/>
        <family val="2"/>
      </rPr>
      <t xml:space="preserve">-3 </t>
    </r>
    <r>
      <rPr>
        <b/>
        <sz val="10"/>
        <rFont val="Arial"/>
        <family val="2"/>
      </rPr>
      <t xml:space="preserve">] or [ML </t>
    </r>
    <r>
      <rPr>
        <b/>
        <vertAlign val="superscript"/>
        <sz val="10"/>
        <rFont val="Arial"/>
        <family val="2"/>
      </rPr>
      <t>-2</t>
    </r>
    <r>
      <rPr>
        <b/>
        <sz val="10"/>
        <rFont val="Arial"/>
        <family val="2"/>
      </rPr>
      <t xml:space="preserve"> T </t>
    </r>
    <r>
      <rPr>
        <b/>
        <vertAlign val="superscript"/>
        <sz val="10"/>
        <rFont val="Arial"/>
        <family val="2"/>
      </rPr>
      <t>-2</t>
    </r>
    <r>
      <rPr>
        <b/>
        <sz val="10"/>
        <rFont val="Arial"/>
        <family val="2"/>
      </rPr>
      <t>]</t>
    </r>
  </si>
  <si>
    <r>
      <t xml:space="preserve">PRESSURE; STRESS; FORCE/ UNIT-AREA [ F L </t>
    </r>
    <r>
      <rPr>
        <b/>
        <vertAlign val="superscript"/>
        <sz val="10"/>
        <rFont val="Arial"/>
        <family val="2"/>
      </rPr>
      <t xml:space="preserve">-2 </t>
    </r>
    <r>
      <rPr>
        <b/>
        <sz val="10"/>
        <rFont val="Arial"/>
        <family val="2"/>
      </rPr>
      <t xml:space="preserve">] or [M L </t>
    </r>
    <r>
      <rPr>
        <b/>
        <vertAlign val="superscript"/>
        <sz val="10"/>
        <rFont val="Arial"/>
        <family val="2"/>
      </rPr>
      <t>-1</t>
    </r>
    <r>
      <rPr>
        <b/>
        <sz val="10"/>
        <rFont val="Arial"/>
        <family val="2"/>
      </rPr>
      <t xml:space="preserve"> T </t>
    </r>
    <r>
      <rPr>
        <b/>
        <vertAlign val="superscript"/>
        <sz val="10"/>
        <rFont val="Arial"/>
        <family val="2"/>
      </rPr>
      <t>-2</t>
    </r>
    <r>
      <rPr>
        <b/>
        <sz val="10"/>
        <rFont val="Arial"/>
        <family val="2"/>
      </rPr>
      <t>]</t>
    </r>
  </si>
  <si>
    <r>
      <t xml:space="preserve">FORCE/UNIT-LENGTH [ F L </t>
    </r>
    <r>
      <rPr>
        <b/>
        <vertAlign val="superscript"/>
        <sz val="10"/>
        <rFont val="Arial"/>
        <family val="2"/>
      </rPr>
      <t xml:space="preserve">-1 </t>
    </r>
    <r>
      <rPr>
        <b/>
        <sz val="10"/>
        <rFont val="Arial"/>
        <family val="2"/>
      </rPr>
      <t xml:space="preserve">] or [M T </t>
    </r>
    <r>
      <rPr>
        <b/>
        <vertAlign val="superscript"/>
        <sz val="10"/>
        <rFont val="Arial"/>
        <family val="2"/>
      </rPr>
      <t>-2</t>
    </r>
    <r>
      <rPr>
        <b/>
        <sz val="10"/>
        <rFont val="Arial"/>
        <family val="2"/>
      </rPr>
      <t>]</t>
    </r>
  </si>
  <si>
    <t>a unit used in measuring distances at sea, equal to 6080 feet</t>
  </si>
  <si>
    <t>Metre-candles</t>
  </si>
  <si>
    <t>Solar Year</t>
  </si>
  <si>
    <t>one thousandth of an inch, 0.0254 mm</t>
  </si>
  <si>
    <t>The speed of light in a vacuum defined to be exactly 299 792 482 metres per second.</t>
  </si>
  <si>
    <t>Pound</t>
  </si>
  <si>
    <t>US barrel</t>
  </si>
  <si>
    <t>US gallon</t>
  </si>
  <si>
    <t>US bushel</t>
  </si>
  <si>
    <t>kilogram force</t>
  </si>
  <si>
    <t>9.80665 Newtons</t>
  </si>
  <si>
    <t>This product is being distributed as a part of our policy to pool, share and grow technical expertise with fellow engineers.  In the past we did so by using personal and direct business contacts.  Availability of the Internet, now makes it possible to  pool and share expertise with engineers all over the world.</t>
  </si>
  <si>
    <t>Angle (Solid)</t>
  </si>
  <si>
    <t>A1</t>
  </si>
  <si>
    <t>A2</t>
  </si>
  <si>
    <t>A3</t>
  </si>
  <si>
    <t>A4</t>
  </si>
  <si>
    <t>A5</t>
  </si>
  <si>
    <r>
      <t xml:space="preserve">SPEED; VELOCITY [ L T  </t>
    </r>
    <r>
      <rPr>
        <b/>
        <vertAlign val="superscript"/>
        <sz val="10"/>
        <rFont val="Arial"/>
        <family val="2"/>
      </rPr>
      <t>-1</t>
    </r>
    <r>
      <rPr>
        <b/>
        <sz val="10"/>
        <rFont val="Arial"/>
        <family val="2"/>
      </rPr>
      <t xml:space="preserve"> ]</t>
    </r>
  </si>
  <si>
    <t>second</t>
  </si>
  <si>
    <t>K</t>
  </si>
  <si>
    <t>cd</t>
  </si>
  <si>
    <t>km</t>
  </si>
  <si>
    <t>ha</t>
  </si>
  <si>
    <t>hectare</t>
  </si>
  <si>
    <t>centimetre</t>
  </si>
  <si>
    <t>rad</t>
  </si>
  <si>
    <t>radian</t>
  </si>
  <si>
    <t>sr</t>
  </si>
  <si>
    <t>steradian</t>
  </si>
  <si>
    <t>W</t>
  </si>
  <si>
    <t>MW</t>
  </si>
  <si>
    <t>KW</t>
  </si>
  <si>
    <t>kilowatts</t>
  </si>
  <si>
    <t>J</t>
  </si>
  <si>
    <t>joule</t>
  </si>
  <si>
    <t>MJ</t>
  </si>
  <si>
    <t>megajoule</t>
  </si>
  <si>
    <t>kJ</t>
  </si>
  <si>
    <t>kilojoule</t>
  </si>
  <si>
    <t>lm</t>
  </si>
  <si>
    <t>lumen</t>
  </si>
  <si>
    <t>lx</t>
  </si>
  <si>
    <t>foot</t>
  </si>
  <si>
    <t>inch</t>
  </si>
  <si>
    <t>Using this temperature scale, water freezes at approximately 32 degF and boils at approximated 212 degF.  It is given by:
     T(F) = 9 T(C)/5 + 32 = 9 T(K)/5 - 459.67</t>
  </si>
  <si>
    <t>Using this temperature scale, water freezes at approximately 0 degC and boils at approximated 100 degC.  It is given by:
     T(C) = 5 [T(F) - 32]/9 = T(K) - 273.15</t>
  </si>
  <si>
    <r>
      <t xml:space="preserve">Viscosity (Dynamic):
</t>
    </r>
    <r>
      <rPr>
        <sz val="10"/>
        <rFont val="Arial"/>
        <family val="2"/>
      </rPr>
      <t>Micro N s / m^2, kg / m h, mN s / m^2 [g / m s] [Centipoise], Dyn s / cm^ 2 [1 g / cm s] [Poise], N s / m^ 2 [ kg / m s], kgf s / m^ 2, lb / ft h, pdl s / ft^2 [lb / ft s], lbf s / ft ^ 2 [slug / ft s], lbf h / ft^2</t>
    </r>
  </si>
  <si>
    <r>
      <t xml:space="preserve">Viscosity (Kinematic):
</t>
    </r>
    <r>
      <rPr>
        <sz val="10"/>
        <rFont val="Arial"/>
        <family val="2"/>
      </rPr>
      <t xml:space="preserve"> mm ^2  / h, mm ^2 / s [Centistoke], cm ^2 / h, cm ^2 / s  [Stoke], m ^2 / h, m ^2 / s, in ^2 / h, in ^2 / s, ft ^2 / h, ft ^2 / s</t>
    </r>
  </si>
  <si>
    <r>
      <t xml:space="preserve">ENERGY; WORK; HEAT [M L </t>
    </r>
    <r>
      <rPr>
        <b/>
        <vertAlign val="superscript"/>
        <sz val="10"/>
        <rFont val="Arial"/>
        <family val="2"/>
      </rPr>
      <t>2</t>
    </r>
    <r>
      <rPr>
        <b/>
        <sz val="10"/>
        <rFont val="Arial"/>
        <family val="2"/>
      </rPr>
      <t xml:space="preserve"> T </t>
    </r>
    <r>
      <rPr>
        <b/>
        <vertAlign val="superscript"/>
        <sz val="10"/>
        <rFont val="Arial"/>
        <family val="2"/>
      </rPr>
      <t>-2</t>
    </r>
    <r>
      <rPr>
        <b/>
        <sz val="10"/>
        <rFont val="Arial"/>
        <family val="2"/>
      </rPr>
      <t>] or [F L]</t>
    </r>
  </si>
  <si>
    <t>a unit of dynamic viscosity, such that a tangential force of one dyne per square centimetre causes a velocity change of one centimetre per second between two parallel planes separated by one centimetre in a liquid.</t>
  </si>
  <si>
    <t>Poise</t>
  </si>
  <si>
    <t>Centipoise</t>
  </si>
  <si>
    <t>0.01 Poise</t>
  </si>
  <si>
    <t>Centistoke</t>
  </si>
  <si>
    <t xml:space="preserve">the cgs unit of kinematic viscosity, corresponding to a dynamic viscosity of 1 poise and a density of 1 gram per cubic centimetre and equivalent to 10-4 square metres per second.
</t>
  </si>
  <si>
    <t>0.01 Stokes</t>
  </si>
  <si>
    <t>Stokes</t>
  </si>
  <si>
    <t>SI unit for measuring temperature. On the Kelvin scale, water freezes at about 273 K and boils at approximately 373K.  It is given by:
     T(K) = 5[T(F) - 32]/9 + 273.15  = T(C)  +  273.15</t>
  </si>
  <si>
    <t>As per 1983 definition, the length of the path travelled by light in a vacuum during a time interval of 1/299792458 of a second.</t>
  </si>
  <si>
    <t>Centimetres / sec / Sec [gal]</t>
  </si>
  <si>
    <t>Cu Feet / second [cusec]</t>
  </si>
  <si>
    <t>Cu Metre / second [cumec]</t>
  </si>
  <si>
    <t>Pounds / sq ft [psf]</t>
  </si>
  <si>
    <t>Newtons metre [Joule]</t>
  </si>
  <si>
    <t>Miles / hour [mph]</t>
  </si>
  <si>
    <t>Millilitre [cc]</t>
  </si>
  <si>
    <t>Degrees / second</t>
  </si>
  <si>
    <t>Radians / second</t>
  </si>
  <si>
    <t>Revolutions (cycles) / minute [rpm]</t>
  </si>
  <si>
    <r>
      <t xml:space="preserve">ANGULAR VELOCITY [ T  </t>
    </r>
    <r>
      <rPr>
        <b/>
        <vertAlign val="superscript"/>
        <sz val="10"/>
        <rFont val="Arial"/>
        <family val="2"/>
      </rPr>
      <t>-1</t>
    </r>
    <r>
      <rPr>
        <b/>
        <sz val="10"/>
        <rFont val="Arial"/>
        <family val="2"/>
      </rPr>
      <t xml:space="preserve"> ]</t>
    </r>
  </si>
  <si>
    <t>Revolutions (cycles) / second [Hz, cps]</t>
  </si>
  <si>
    <t>Note:</t>
  </si>
  <si>
    <t>standard atmosphere pressure; 1 atm = 101325 Pa</t>
  </si>
  <si>
    <t>kilogram</t>
  </si>
  <si>
    <t>hp</t>
  </si>
  <si>
    <t>Hz</t>
  </si>
  <si>
    <t>rpm</t>
  </si>
  <si>
    <t>revolutions per minute</t>
  </si>
  <si>
    <t>cycle (revolutions) per second, cps</t>
  </si>
  <si>
    <t>horsepower, 550 foot-pounds per second</t>
  </si>
  <si>
    <t>British thermal unit defined as the amount of heat required to raise the temperature of 1 lb of water through 1 degF at a standard temperature of 59.5 degF to 60.5 degF and constant pressure of 1 atmosphere. It has been taken as 1055.05585262 watts/joules (based on 1 Calorie = 4.1868 Joules).</t>
  </si>
  <si>
    <t>mm</t>
  </si>
  <si>
    <t>millimetre</t>
  </si>
  <si>
    <t>pdl s / ft^2 [lb / ft s]</t>
  </si>
  <si>
    <t>Micro N s / m^2</t>
  </si>
  <si>
    <t>kg / m h</t>
  </si>
  <si>
    <t>lb / ft h</t>
  </si>
  <si>
    <r>
      <t xml:space="preserve">DYNAMIC VISCOSITY [ F T L </t>
    </r>
    <r>
      <rPr>
        <b/>
        <vertAlign val="superscript"/>
        <sz val="10"/>
        <rFont val="Arial"/>
        <family val="2"/>
      </rPr>
      <t xml:space="preserve">-2 </t>
    </r>
    <r>
      <rPr>
        <b/>
        <sz val="10"/>
        <rFont val="Arial"/>
        <family val="2"/>
      </rPr>
      <t xml:space="preserve">] or [M L </t>
    </r>
    <r>
      <rPr>
        <b/>
        <vertAlign val="superscript"/>
        <sz val="10"/>
        <rFont val="Arial"/>
        <family val="2"/>
      </rPr>
      <t>-1</t>
    </r>
    <r>
      <rPr>
        <b/>
        <sz val="10"/>
        <rFont val="Arial"/>
        <family val="2"/>
      </rPr>
      <t xml:space="preserve"> T </t>
    </r>
    <r>
      <rPr>
        <b/>
        <vertAlign val="superscript"/>
        <sz val="10"/>
        <rFont val="Arial"/>
        <family val="2"/>
      </rPr>
      <t>-1</t>
    </r>
    <r>
      <rPr>
        <b/>
        <sz val="10"/>
        <rFont val="Arial"/>
        <family val="2"/>
      </rPr>
      <t>]</t>
    </r>
  </si>
  <si>
    <t>mN s / m^2 [g / m s] [Centipoise]</t>
  </si>
  <si>
    <t>lbf s / ft ^ 2 [slug / ft s]</t>
  </si>
  <si>
    <t>Kilogram force = 9.80665 N on planet earth</t>
  </si>
  <si>
    <t>mN</t>
  </si>
  <si>
    <t>millinewton = 0.001 N</t>
  </si>
  <si>
    <t>pound force</t>
  </si>
  <si>
    <t>pdl</t>
  </si>
  <si>
    <t>Dyn s / cm^ 2 [1 g / cm s] [Poise]</t>
  </si>
  <si>
    <t>N s / m^ 2 [ kg / m s]</t>
  </si>
  <si>
    <t>kgf s / m^ 2</t>
  </si>
  <si>
    <t>h</t>
  </si>
  <si>
    <t>hour = 3600 seconds</t>
  </si>
  <si>
    <t>m ^2 / s</t>
  </si>
  <si>
    <t>m ^2 / h</t>
  </si>
  <si>
    <t>cm ^2 / s  [Stoke]</t>
  </si>
  <si>
    <t>cm ^2 / h</t>
  </si>
  <si>
    <t>mm ^2 / s [Centistoke]</t>
  </si>
  <si>
    <t>mm ^2  / h</t>
  </si>
  <si>
    <t>ft ^2 / h</t>
  </si>
  <si>
    <t>ft ^2 / s</t>
  </si>
  <si>
    <t>in ^2 / s</t>
  </si>
  <si>
    <t>in ^2 / h</t>
  </si>
  <si>
    <t>Ton of refrigeration</t>
  </si>
  <si>
    <t>lbf ft / minute</t>
  </si>
  <si>
    <t>lbf ft / second</t>
  </si>
  <si>
    <t>erg / second</t>
  </si>
  <si>
    <t>kgf metre / second</t>
  </si>
  <si>
    <t>Ctu / hour</t>
  </si>
  <si>
    <t>Btu / hour</t>
  </si>
  <si>
    <t>Btu / minute</t>
  </si>
  <si>
    <t>Btu / seconds</t>
  </si>
  <si>
    <t>Kilowatts [kW]</t>
  </si>
  <si>
    <t>kgf m</t>
  </si>
  <si>
    <t>lbf ft</t>
  </si>
  <si>
    <t>Megajoules [MJ]</t>
  </si>
  <si>
    <t>Kilojoules [kJ]</t>
  </si>
  <si>
    <t>Joules [J]</t>
  </si>
  <si>
    <r>
      <t xml:space="preserve">POWER; HEAT FLOW RATE  [M L </t>
    </r>
    <r>
      <rPr>
        <b/>
        <vertAlign val="superscript"/>
        <sz val="10"/>
        <rFont val="Arial"/>
        <family val="2"/>
      </rPr>
      <t>2</t>
    </r>
    <r>
      <rPr>
        <b/>
        <sz val="10"/>
        <rFont val="Arial"/>
        <family val="2"/>
      </rPr>
      <t xml:space="preserve"> T </t>
    </r>
    <r>
      <rPr>
        <b/>
        <vertAlign val="superscript"/>
        <sz val="10"/>
        <rFont val="Arial"/>
        <family val="2"/>
      </rPr>
      <t>-3</t>
    </r>
    <r>
      <rPr>
        <b/>
        <sz val="10"/>
        <rFont val="Arial"/>
        <family val="2"/>
      </rPr>
      <t xml:space="preserve">] or [F L T </t>
    </r>
    <r>
      <rPr>
        <b/>
        <vertAlign val="superscript"/>
        <sz val="10"/>
        <rFont val="Arial"/>
        <family val="2"/>
      </rPr>
      <t>-1</t>
    </r>
    <r>
      <rPr>
        <b/>
        <sz val="10"/>
        <rFont val="Arial"/>
        <family val="2"/>
      </rPr>
      <t>]</t>
    </r>
  </si>
  <si>
    <r>
      <t xml:space="preserve">SECTION MODULUS [ L </t>
    </r>
    <r>
      <rPr>
        <b/>
        <vertAlign val="superscript"/>
        <sz val="10"/>
        <rFont val="Arial"/>
        <family val="2"/>
      </rPr>
      <t>3</t>
    </r>
    <r>
      <rPr>
        <b/>
        <sz val="10"/>
        <rFont val="Arial"/>
        <family val="2"/>
      </rPr>
      <t xml:space="preserve"> ]</t>
    </r>
  </si>
  <si>
    <r>
      <t>Volume:</t>
    </r>
    <r>
      <rPr>
        <sz val="10"/>
        <rFont val="Arial"/>
        <family val="2"/>
      </rPr>
      <t xml:space="preserve">
Cu Millimetre, Cu Centimetre, Cu Decimetre, Cu Metre, Cu Hectometre, Cu Kilometre, Stere, Millilitre (CC), Centilitre, Decilitre, Litre, Hectolitre, Kilolitre, Cu Inch, Cu Foot, Cu Yard, Cu Furlong, Cu Mile, UK Fluid Ounce, UK Gill, UK Pint, UK Quart, UK Gallon, UK Peck, UK Bushel, Teaspoon, Tablespoon, US Fluid Ounce, Cup, US Pint, US Quart, US Gallon, US Barrel, US Pint Dry, US Quart Dry, US Peck Dry, US Bushel Dry</t>
    </r>
  </si>
  <si>
    <r>
      <t>Moment of Inertia:</t>
    </r>
    <r>
      <rPr>
        <sz val="10"/>
        <rFont val="Arial"/>
        <family val="2"/>
      </rPr>
      <t xml:space="preserve">
Millimetre</t>
    </r>
    <r>
      <rPr>
        <vertAlign val="superscript"/>
        <sz val="10"/>
        <rFont val="Arial"/>
        <family val="2"/>
      </rPr>
      <t>4</t>
    </r>
    <r>
      <rPr>
        <sz val="10"/>
        <rFont val="Arial"/>
        <family val="2"/>
      </rPr>
      <t>, Centimetre</t>
    </r>
    <r>
      <rPr>
        <vertAlign val="superscript"/>
        <sz val="10"/>
        <rFont val="Arial"/>
        <family val="2"/>
      </rPr>
      <t>4</t>
    </r>
    <r>
      <rPr>
        <sz val="10"/>
        <rFont val="Arial"/>
        <family val="2"/>
      </rPr>
      <t>, Decimetre</t>
    </r>
    <r>
      <rPr>
        <vertAlign val="superscript"/>
        <sz val="10"/>
        <rFont val="Arial"/>
        <family val="2"/>
      </rPr>
      <t>4</t>
    </r>
    <r>
      <rPr>
        <sz val="10"/>
        <rFont val="Arial"/>
        <family val="2"/>
      </rPr>
      <t>, Metre</t>
    </r>
    <r>
      <rPr>
        <vertAlign val="superscript"/>
        <sz val="10"/>
        <rFont val="Arial"/>
        <family val="2"/>
      </rPr>
      <t>4</t>
    </r>
    <r>
      <rPr>
        <sz val="10"/>
        <rFont val="Arial"/>
        <family val="2"/>
      </rPr>
      <t>, Hectometre</t>
    </r>
    <r>
      <rPr>
        <vertAlign val="superscript"/>
        <sz val="10"/>
        <rFont val="Arial"/>
        <family val="2"/>
      </rPr>
      <t>4</t>
    </r>
    <r>
      <rPr>
        <sz val="10"/>
        <rFont val="Arial"/>
        <family val="2"/>
      </rPr>
      <t>, Kilometre</t>
    </r>
    <r>
      <rPr>
        <vertAlign val="superscript"/>
        <sz val="10"/>
        <rFont val="Arial"/>
        <family val="2"/>
      </rPr>
      <t>4</t>
    </r>
    <r>
      <rPr>
        <sz val="10"/>
        <rFont val="Arial"/>
        <family val="2"/>
      </rPr>
      <t>, Inch</t>
    </r>
    <r>
      <rPr>
        <vertAlign val="superscript"/>
        <sz val="10"/>
        <rFont val="Arial"/>
        <family val="2"/>
      </rPr>
      <t>4</t>
    </r>
    <r>
      <rPr>
        <sz val="10"/>
        <rFont val="Arial"/>
        <family val="2"/>
      </rPr>
      <t>, Foot</t>
    </r>
    <r>
      <rPr>
        <vertAlign val="superscript"/>
        <sz val="10"/>
        <rFont val="Arial"/>
        <family val="2"/>
      </rPr>
      <t>4</t>
    </r>
    <r>
      <rPr>
        <sz val="10"/>
        <rFont val="Arial"/>
        <family val="2"/>
      </rPr>
      <t>, Yard</t>
    </r>
    <r>
      <rPr>
        <vertAlign val="superscript"/>
        <sz val="10"/>
        <rFont val="Arial"/>
        <family val="2"/>
      </rPr>
      <t>4</t>
    </r>
    <r>
      <rPr>
        <sz val="10"/>
        <rFont val="Arial"/>
        <family val="2"/>
      </rPr>
      <t>, Furlong</t>
    </r>
    <r>
      <rPr>
        <vertAlign val="superscript"/>
        <sz val="10"/>
        <rFont val="Arial"/>
        <family val="2"/>
      </rPr>
      <t>4</t>
    </r>
    <r>
      <rPr>
        <sz val="10"/>
        <rFont val="Arial"/>
        <family val="2"/>
      </rPr>
      <t>, Mile</t>
    </r>
    <r>
      <rPr>
        <vertAlign val="superscript"/>
        <sz val="10"/>
        <rFont val="Arial"/>
        <family val="2"/>
      </rPr>
      <t>4</t>
    </r>
  </si>
  <si>
    <t>Reference</t>
  </si>
  <si>
    <t>Blevins, Robert D."Formulas for Natural Frequency and Mode Shape", Krieger Publishing Company, Malabar, Florida, ISBN 0-89464-894-2, 1995.</t>
  </si>
  <si>
    <r>
      <t xml:space="preserve">A correct dynamic analysis demands using consistent units.  To avoid errors, Blevins </t>
    </r>
    <r>
      <rPr>
        <vertAlign val="superscript"/>
        <sz val="10"/>
        <rFont val="Arial"/>
        <family val="2"/>
      </rPr>
      <t>[1]</t>
    </r>
    <r>
      <rPr>
        <sz val="10"/>
        <rFont val="Arial"/>
        <family val="2"/>
      </rPr>
      <t xml:space="preserve"> suggests using any of the following consistent set of units.</t>
    </r>
  </si>
  <si>
    <t>Number Display Control</t>
  </si>
  <si>
    <r>
      <t>Speed; Velocity (Linear):</t>
    </r>
    <r>
      <rPr>
        <sz val="10"/>
        <rFont val="Arial"/>
        <family val="2"/>
      </rPr>
      <t xml:space="preserve">
Centimetres/hour, Centimetres/minute, Centimetres/second, Metres/hour, Metres/minute, Metres/second, Kilometres/hour, Kilometres/minute, Kilometres/second, Int. Knots, UK Knots, C, Mach, Inches/hour, Inches/minute, Inches/second, Feet/hour, Feet/minute, Feet/second, Yards/hour, Yards/minute, Yards/second, Miles/hour (mph), Miles/minute, Miles/second</t>
    </r>
  </si>
  <si>
    <r>
      <t>Velocity (Angular):</t>
    </r>
    <r>
      <rPr>
        <sz val="10"/>
        <rFont val="Arial"/>
        <family val="2"/>
      </rPr>
      <t xml:space="preserve">
Degrees/second, Radians/second, Revolutions (cycles)/minute [rpm], Revolutions (cycles)/second [Hz, cps]</t>
    </r>
  </si>
  <si>
    <r>
      <t>FLOW OF VOLUME [ L</t>
    </r>
    <r>
      <rPr>
        <b/>
        <vertAlign val="superscript"/>
        <sz val="10"/>
        <rFont val="Arial"/>
        <family val="2"/>
      </rPr>
      <t>3</t>
    </r>
    <r>
      <rPr>
        <b/>
        <sz val="10"/>
        <rFont val="Arial"/>
        <family val="2"/>
      </rPr>
      <t xml:space="preserve"> T </t>
    </r>
    <r>
      <rPr>
        <b/>
        <vertAlign val="superscript"/>
        <sz val="10"/>
        <rFont val="Arial"/>
        <family val="2"/>
      </rPr>
      <t>-1</t>
    </r>
    <r>
      <rPr>
        <b/>
        <sz val="10"/>
        <rFont val="Arial"/>
        <family val="2"/>
      </rPr>
      <t xml:space="preserve"> ]</t>
    </r>
  </si>
  <si>
    <t>Viscosity (Dynamic)</t>
  </si>
  <si>
    <t>Viscosity (Kinematic)</t>
  </si>
  <si>
    <t>Link</t>
  </si>
  <si>
    <t>Chain</t>
  </si>
  <si>
    <t>Rod (Pole, Perch)</t>
  </si>
  <si>
    <t>Sq Rod (Pole, Perch)</t>
  </si>
  <si>
    <t>Sq Chain</t>
  </si>
  <si>
    <t>Rood</t>
  </si>
  <si>
    <t>Sq Mile (Section)</t>
  </si>
  <si>
    <r>
      <t xml:space="preserve">KINEMATIC VISCOSITY [ L </t>
    </r>
    <r>
      <rPr>
        <b/>
        <vertAlign val="superscript"/>
        <sz val="10"/>
        <rFont val="Arial"/>
        <family val="2"/>
      </rPr>
      <t>2</t>
    </r>
    <r>
      <rPr>
        <b/>
        <sz val="10"/>
        <rFont val="Arial"/>
        <family val="2"/>
      </rPr>
      <t xml:space="preserve"> T </t>
    </r>
    <r>
      <rPr>
        <b/>
        <vertAlign val="superscript"/>
        <sz val="10"/>
        <rFont val="Arial"/>
        <family val="2"/>
      </rPr>
      <t>-1</t>
    </r>
    <r>
      <rPr>
        <b/>
        <sz val="10"/>
        <rFont val="Arial"/>
        <family val="2"/>
      </rPr>
      <t xml:space="preserve"> ]</t>
    </r>
  </si>
  <si>
    <t>"g"</t>
  </si>
  <si>
    <t>lbf h / ft^2</t>
  </si>
  <si>
    <t>42 US gallons=168 US quart = 336 pint = 672 cups = 5376 US fluid ounces</t>
  </si>
  <si>
    <t>2150.4 cubic inch = 4 US Peck Dry = 32 US quart dry = 64 Pint Dry</t>
  </si>
  <si>
    <t>231 cubic inch =16 cups = 128  US fluid ounces = 256 tablespoons = 768 teaspoons</t>
  </si>
  <si>
    <t>UK bushel</t>
  </si>
  <si>
    <t>UK gallon</t>
  </si>
  <si>
    <t>2219.36 cubic inch = 4 UK peck = 8 UK gallons</t>
  </si>
  <si>
    <t>277.42 cubic inch = 4 UK quarts = 8 UK pints = 32 UK gills = 160 UK fluid ounces</t>
  </si>
  <si>
    <t>Slug</t>
  </si>
  <si>
    <t>32.17404865 lbs = 143.1172982 N</t>
  </si>
  <si>
    <t>0.45359237 kg = 4.448221615 N = 16 Ounces = 256 Drams = 7000 Grains</t>
  </si>
  <si>
    <t>Pound (troy)</t>
  </si>
  <si>
    <t>Troy weight used in weighing gold or silver, 5760 Grains  = 240 Pennyweights 
= 12 Ounces (troy) ( 0.822857143 lbs = 0.373241722 kg)</t>
  </si>
  <si>
    <t>Kip</t>
  </si>
  <si>
    <t>1000 lbs = 4.448221615 kN</t>
  </si>
  <si>
    <t>kN</t>
  </si>
  <si>
    <t>kilonewton</t>
  </si>
  <si>
    <t>Ton</t>
  </si>
  <si>
    <t>2240 lbs = 1016.046909 kg = 9.964016418 kN</t>
  </si>
  <si>
    <t>Tonnes</t>
  </si>
  <si>
    <t>1000 kg = 2204.622622 lbs = 9.80665 kN</t>
  </si>
  <si>
    <t>Ton (short)</t>
  </si>
  <si>
    <t>2000 lbs = 907.18474 kg = 8.896443231 kN</t>
  </si>
  <si>
    <t>100000 N/sq-mm</t>
  </si>
  <si>
    <t>101325 N/sq-mm = 760 mm of Mercury</t>
  </si>
  <si>
    <t>Torr</t>
  </si>
  <si>
    <t>1 mm of Mercury = 133.3223684 Pa</t>
  </si>
  <si>
    <t xml:space="preserve">1 N/sq-m </t>
  </si>
  <si>
    <t>Horsepower
(metric)</t>
  </si>
  <si>
    <t>75 kilogram-metre/second (0.986320071 Horsepower)</t>
  </si>
  <si>
    <t>Watt</t>
  </si>
  <si>
    <t>1 joule/second (0.737562149 lb-ft/second)</t>
  </si>
  <si>
    <t>1000 cubic centimetre = 1000 Millilitre = 1000 cc</t>
  </si>
  <si>
    <t>Cu Centimetre [cc]</t>
  </si>
  <si>
    <t>Knot (UK)</t>
  </si>
  <si>
    <t>6080 feet/hour (1.151515152 mph)</t>
  </si>
  <si>
    <t>1852 metres/hour (1.150779448 mph)</t>
  </si>
  <si>
    <t>Knot (International)</t>
  </si>
  <si>
    <t>550 Pound-feet/second (1.013869665 Horsepower metric)</t>
  </si>
  <si>
    <t>gal</t>
  </si>
  <si>
    <t>Unit Symbols</t>
  </si>
  <si>
    <t>4840 sq yards</t>
  </si>
  <si>
    <t>10,000 sq metre = 100 Are</t>
  </si>
  <si>
    <t>1 centimetre/second/second</t>
  </si>
  <si>
    <t>9.80665 metre/second/second (32.1740485564304 ft/s/s)</t>
  </si>
  <si>
    <t>V20050823</t>
  </si>
  <si>
    <t>UnitsCalc20050823</t>
  </si>
  <si>
    <r>
      <t>Ó</t>
    </r>
    <r>
      <rPr>
        <i/>
        <sz val="8"/>
        <color indexed="12"/>
        <rFont val="Times New Roman"/>
        <family val="1"/>
      </rPr>
      <t xml:space="preserve"> 2005 Dr Shaiq Khan, Techno Consultants Ltd</t>
    </r>
  </si>
  <si>
    <t>4th Version.  Errors in converting Force/unit-length corrected, reported by Mahesh Ramamoorthy on 23 August 2005.</t>
  </si>
  <si>
    <t>To allow ready conversation of measurements from one system to the other, it has been necessary in some tables to group unlike quantities like mass and force.  This has been inevitable due to the difference in fundamental quantities on which the unit systems are based.  In the Metric and SI systems, mass is a fundamental quantity. In the BIS and the USCS systems, mass is not a fundamental quantity but a derived unit based on force as a fundamental quantity.</t>
  </si>
  <si>
    <t>2nd Version.  Template tweaked to work in Excel 97.</t>
  </si>
  <si>
    <r>
      <t xml:space="preserve">Similar to the mass and weight table, speed and velocity have also been grouped together in one table.  To keep the file size of </t>
    </r>
    <r>
      <rPr>
        <sz val="10"/>
        <color indexed="12"/>
        <rFont val="Arial"/>
        <family val="2"/>
      </rPr>
      <t>UnitsCalc</t>
    </r>
    <r>
      <rPr>
        <sz val="10"/>
        <rFont val="Arial"/>
        <family val="2"/>
      </rPr>
      <t xml:space="preserve"> small, the fact that velocity has a direction and speed is directionless has been ignored.</t>
    </r>
  </si>
  <si>
    <t>The file size is under 500 KB.  At 3 KB/second, your download time would be around 4 minutes.</t>
  </si>
  <si>
    <r>
      <t>a unit of distance in Astronomy, equivalent to the distance that light travels in one year, 9.460528263 × 10</t>
    </r>
    <r>
      <rPr>
        <vertAlign val="superscript"/>
        <sz val="10"/>
        <rFont val="Arial"/>
        <family val="2"/>
      </rPr>
      <t>12</t>
    </r>
    <r>
      <rPr>
        <sz val="10"/>
        <rFont val="Arial"/>
        <family val="2"/>
      </rPr>
      <t xml:space="preserve"> km (about 587.85 million  miles).</t>
    </r>
  </si>
  <si>
    <r>
      <t>Distance; Length</t>
    </r>
    <r>
      <rPr>
        <sz val="10"/>
        <rFont val="Arial"/>
        <family val="2"/>
      </rPr>
      <t>:
Angstrom, Micron, Millimetre, Centimetre, Decimetre, metre, Hectometre, Kilometre, Thou, Mil, Inch, Foot, Yard, Furlong, Mile, Fathom, Int. Nautical Mile, UK Nautical Mile, Light-year, Parsec</t>
    </r>
  </si>
  <si>
    <r>
      <t xml:space="preserve">Moment; Torque: </t>
    </r>
    <r>
      <rPr>
        <sz val="10"/>
        <rFont val="Arial"/>
        <family val="2"/>
      </rPr>
      <t xml:space="preserve">
Newtons millimetre, Newtons centimetre, Newtons metre (Joule), Kilonewtons millimetre, Kilonewtons centimetre, Kilonewtons metre, Kilogram millimetre, Kilogram centimetre, Kilograms metre, Tonnes millimetre, Tonnes centimetre, Tonnes metre, Pounds inch, Pounds foot, Pounds yard, Kips inch, Kips foot, Kips yard, Tons inch, Tons foot, Tons yard</t>
    </r>
  </si>
  <si>
    <r>
      <t>Energy; Work; Heat:</t>
    </r>
    <r>
      <rPr>
        <sz val="10"/>
        <rFont val="Arial"/>
        <family val="2"/>
      </rPr>
      <t xml:space="preserve">
Calories, Kilocalories, Ergs (centimetre dynes), Joules, Kilojoules, Megajoules, Metre Kilogram, Foot Pound, Horsepower-hours, Kilowatt hour, Btu (British Thermal Unit), Chu (Centigrade Heat Unit), Therm</t>
    </r>
  </si>
  <si>
    <r>
      <t>Power:</t>
    </r>
    <r>
      <rPr>
        <sz val="10"/>
        <rFont val="Arial"/>
        <family val="2"/>
      </rPr>
      <t xml:space="preserve">
Calories/second, Kilocalories/hour, Pound-feet/minute, Pound-feet/second, BTU/hour, BTU/minute, BTU/seconds, Horsepower, Horsepower (metric), kgf metre/second, Watts (Joules/second), Kilowatts, Megawatts</t>
    </r>
  </si>
  <si>
    <r>
      <t>Time:</t>
    </r>
    <r>
      <rPr>
        <sz val="10"/>
        <rFont val="Arial"/>
        <family val="2"/>
      </rPr>
      <t xml:space="preserve">
Nanoseconds, Milliseconds, Seconds, Minutes, Hours, Days, Weeks, Fortnights, Months, Years, Decades, Lunar Months, Lunar Years, Centuries, Millenniums</t>
    </r>
  </si>
  <si>
    <r>
      <t>Acceleration:</t>
    </r>
    <r>
      <rPr>
        <sz val="10"/>
        <rFont val="Arial"/>
        <family val="2"/>
      </rPr>
      <t xml:space="preserve">
Free fall (g), Kilometres/hour/minute, Kilometres/hour/second, Metre/sec/sec, Centimetres/sec/Sec, Miles/hour/minute, Miles/hour/second, Yards/sec/sec, Feet/sec/sec, Inches/sec/sec, Int. Nautical Mile/hour/second, UK Nautical Miles/hour/second</t>
    </r>
  </si>
  <si>
    <t>range.  Floating format applies for values outside this range.</t>
  </si>
  <si>
    <t>User controlled format applies when measurement values lie within the above</t>
  </si>
  <si>
    <t>Conversion values can be copied to the clipboard for use elsewhere..</t>
  </si>
  <si>
    <r>
      <t>UnitsCalc</t>
    </r>
    <r>
      <rPr>
        <sz val="10"/>
        <rFont val="Arial"/>
        <family val="2"/>
      </rPr>
      <t xml:space="preserve"> is an Excel 97/2000 Template for the conversion of measurements among units of physics and mechanics used by engineers and architects in the building trade.</t>
    </r>
  </si>
  <si>
    <r>
      <t>Temperature:</t>
    </r>
    <r>
      <rPr>
        <sz val="10"/>
        <rFont val="Arial"/>
        <family val="2"/>
      </rPr>
      <t xml:space="preserve">
Fahrenheit, Celsius, Kelvin</t>
    </r>
  </si>
  <si>
    <r>
      <t>Illumination</t>
    </r>
    <r>
      <rPr>
        <sz val="10"/>
        <rFont val="Arial"/>
        <family val="2"/>
      </rPr>
      <t>:
Foot-candles, Lux, Meter-candles</t>
    </r>
  </si>
  <si>
    <r>
      <t>Angle (Solid):</t>
    </r>
    <r>
      <rPr>
        <sz val="10"/>
        <rFont val="Arial"/>
        <family val="2"/>
      </rPr>
      <t xml:space="preserve">
Steradian, Spherical Right Angle, Hemisphere, Sphere</t>
    </r>
  </si>
  <si>
    <t>Newtons / sq centimetre</t>
  </si>
  <si>
    <r>
      <t>Newtons / sq millimetre</t>
    </r>
    <r>
      <rPr>
        <sz val="10"/>
        <rFont val="Arial"/>
        <family val="2"/>
      </rPr>
      <t xml:space="preserve"> [Mpa]</t>
    </r>
  </si>
  <si>
    <t>Kilonewtons / sq millimetre</t>
  </si>
  <si>
    <t>Kilonewtons / sq centimetre</t>
  </si>
  <si>
    <t>Kilonewtons / sq metre</t>
  </si>
  <si>
    <t>Kilograms / sq millimetre</t>
  </si>
  <si>
    <t>Kilograms / sq centimetre</t>
  </si>
  <si>
    <t>Kilograms / sq metre</t>
  </si>
  <si>
    <t>Tonnes / sq millimetre</t>
  </si>
  <si>
    <t>Tonnes / sq centimetre</t>
  </si>
  <si>
    <r>
      <t xml:space="preserve"> FORCE; WEIGHT [M L T </t>
    </r>
    <r>
      <rPr>
        <b/>
        <vertAlign val="superscript"/>
        <sz val="10"/>
        <rFont val="Arial"/>
        <family val="2"/>
      </rPr>
      <t>-2</t>
    </r>
    <r>
      <rPr>
        <b/>
        <sz val="10"/>
        <rFont val="Arial"/>
        <family val="2"/>
      </rPr>
      <t>] or [F]</t>
    </r>
  </si>
  <si>
    <t>Tonnes / sq metre</t>
  </si>
  <si>
    <t>Pounds / sq yard</t>
  </si>
  <si>
    <t>Poundal / sq ft</t>
  </si>
  <si>
    <t>Kips / sq yard</t>
  </si>
  <si>
    <t>Tons / sq inch</t>
  </si>
  <si>
    <t>Tons / sq ft</t>
  </si>
  <si>
    <t>Tons / sq yard</t>
  </si>
  <si>
    <t>Dynes / sq centimetre</t>
  </si>
  <si>
    <r>
      <t>Pressure; Stress; Force per Unit Area:</t>
    </r>
    <r>
      <rPr>
        <sz val="10"/>
        <rFont val="Arial"/>
        <family val="2"/>
      </rPr>
      <t xml:space="preserve">
Dynes/sq centimetre, Newtons/sq metre [Pa], Newtons/sq centimetre, Newtons/sq millimetre [Mpa], Kilonewtons/sq millimetre, Kilonewtons/sq centimetre, Kilonewtons/sq metre, Kilograms/sq millimetre, Kilograms/sq centimetre, Kilograms/sq metre, Tonnes/sq millimetre, Tonnes/sq centimetre, Tonnes/sq metre, Pound/sq inch [PSI], Pounds/sq ft, Pounds/sq yard, Poundal/sq ft, Kips/sq inch, Kips/sq ft, Kips/sq yard, Tons/sq inch, Tons/sq ft, Tons/sq yard, Atmosphere, Microbar, Millibar, Bar, Millimetres of Water, Centimetres of Water, Metres of Water, Inches of Water, Feet of Water, Yards of Water, Millimetres of Mercury [Torrs], Centimetres of Mercury, Inches of Mercury</t>
    </r>
  </si>
  <si>
    <t>Dynes / cu centimetre</t>
  </si>
  <si>
    <t>Newtons / cu centimetre</t>
  </si>
  <si>
    <t>Kilonewtons / cu millimetre</t>
  </si>
  <si>
    <t>Kilonewtons / cu centimetre</t>
  </si>
  <si>
    <t>Kilonewtons / cu metre</t>
  </si>
  <si>
    <t>Kilograms / cu millimetre</t>
  </si>
  <si>
    <t>Kilograms / cu centimetre</t>
  </si>
  <si>
    <t>Kilograms / cu metre</t>
  </si>
  <si>
    <t>Tonnes / cu millimetre</t>
  </si>
  <si>
    <t>Tonnes / cu centimetre</t>
  </si>
  <si>
    <t>Tonnes / cu metre</t>
  </si>
  <si>
    <t>Pounds / cu foot</t>
  </si>
  <si>
    <t>Pounds / cu yard</t>
  </si>
  <si>
    <t>Kips / cu inch</t>
  </si>
  <si>
    <t>Kips / cu foot</t>
  </si>
  <si>
    <t>Kips / cu yard</t>
  </si>
  <si>
    <t>Ton / cu inch</t>
  </si>
  <si>
    <t>Tons / cu foot</t>
  </si>
  <si>
    <t>Tons / cu yard</t>
  </si>
  <si>
    <t>Cu Inch / hour</t>
  </si>
  <si>
    <t>Cu Inch / minute</t>
  </si>
  <si>
    <t>Cu Inch / second</t>
  </si>
  <si>
    <t>Cu Feet / hour</t>
  </si>
  <si>
    <t>Cu Feet / minute</t>
  </si>
  <si>
    <t>Cu Yards / hour</t>
  </si>
  <si>
    <t>Cu Yards / minute</t>
  </si>
  <si>
    <t>Cu Yards / second</t>
  </si>
  <si>
    <t>UK Ounces / hour</t>
  </si>
  <si>
    <t>UK Ounces / minute</t>
  </si>
  <si>
    <t>UK Ounces / second</t>
  </si>
  <si>
    <t>US Ounces / hour</t>
  </si>
  <si>
    <t>US Ounces / minute</t>
  </si>
  <si>
    <t>US Ounces / second</t>
  </si>
  <si>
    <t>Cu Centimetres / hour</t>
  </si>
  <si>
    <t>Cu Centimetres / minute</t>
  </si>
  <si>
    <t>Cu Centimetres / second</t>
  </si>
  <si>
    <t>Cu Millilitres / hour</t>
  </si>
  <si>
    <t>Cu Millilitres / minute</t>
  </si>
  <si>
    <t>Cu Millilitres / second</t>
  </si>
  <si>
    <r>
      <t>In converse to the above, a conversion value can be pasted in Cell C2 from another worksheet or application via the clipboard.</t>
    </r>
    <r>
      <rPr>
        <sz val="10"/>
        <color indexed="10"/>
        <rFont val="Arial"/>
        <family val="2"/>
      </rPr>
      <t xml:space="preserve"> However, please use the Paste-Special - value command rather than the simple Paste Command.  The Paste command erases the cell colour and its data validation capability.</t>
    </r>
  </si>
  <si>
    <t>Grads</t>
  </si>
  <si>
    <t>V20020708</t>
  </si>
  <si>
    <t>3rd Version.  Glitch involving conversion of moment units in Tonnes-m/cm/mm fixed.</t>
  </si>
  <si>
    <r>
      <t>To display simple conversion factors from any one unit to rest of the units, you can type a value of 1 in cell C2 (</t>
    </r>
    <r>
      <rPr>
        <sz val="10"/>
        <color indexed="57"/>
        <rFont val="Arial"/>
        <family val="2"/>
      </rPr>
      <t>shaded light green</t>
    </r>
    <r>
      <rPr>
        <sz val="10"/>
        <rFont val="Arial"/>
        <family val="2"/>
      </rPr>
      <t xml:space="preserve">) as your measurement. </t>
    </r>
  </si>
  <si>
    <t xml:space="preserve">¨  </t>
  </si>
  <si>
    <t>Cu Metre / day</t>
  </si>
  <si>
    <t>Cu Metre / hour</t>
  </si>
  <si>
    <t>Cu Metre / minute</t>
  </si>
  <si>
    <r>
      <t>Flow:</t>
    </r>
    <r>
      <rPr>
        <sz val="10"/>
        <rFont val="Arial"/>
        <family val="2"/>
      </rPr>
      <t xml:space="preserve">
Cu Inch/hour, Cu Inch/minute, Cu Inch/second, Cu Feet/hour, Cu Feet/minute, Cu Feet/second (cusec), Cu Yards/hour, Cu Yards/minute, Cu Yards/second, UK Ounces/hour, UK Ounces/minute, UK Ounces/second, UK Gallons/day, UK Gallons/hour, UK Gallons/minute, UK Gallons/second, US barrels/day, US Ounces/hour, US Ounces/minute, US Ounces/second, US Gallons/day, US Gallons/hour, US Gallons/minute, US Gallons/second, Cu Centimetres/hour, Cu Centimetres/minute, Cu Centimetres/second, Cu Millilitres/hour, Cu Millilitres/minute, Cu Millilitres/second, Litres/day, Litres/hour, Litres/minute, Litres/second, Cu Metre/day, Cu Metre/hour, Metre/minute, Cu Metre/second (cumec)</t>
    </r>
  </si>
  <si>
    <t>Unit Quantities</t>
  </si>
  <si>
    <t>1 cubic metre</t>
  </si>
  <si>
    <t>Full Documentation is included within the template i.e. Features, Consistent Set of Units, User Notes, Terms and Conditions of Use and Revision History of the Template.</t>
  </si>
  <si>
    <t>The systems of units covered are: British Imperial System, French Metric System, U.S. Customary System, the International System of Units and some other units used in practice e.g. navigation, astronomy, etc.</t>
  </si>
  <si>
    <t>UnitsCalc Features</t>
  </si>
  <si>
    <r>
      <t xml:space="preserve">MOMENT OF A FORCE; TORQUE [ F L </t>
    </r>
    <r>
      <rPr>
        <b/>
        <vertAlign val="superscript"/>
        <sz val="10"/>
        <rFont val="Arial"/>
        <family val="2"/>
      </rPr>
      <t xml:space="preserve"> </t>
    </r>
    <r>
      <rPr>
        <b/>
        <sz val="10"/>
        <rFont val="Arial"/>
        <family val="2"/>
      </rPr>
      <t xml:space="preserve">] or [M L </t>
    </r>
    <r>
      <rPr>
        <b/>
        <vertAlign val="superscript"/>
        <sz val="10"/>
        <rFont val="Arial"/>
        <family val="2"/>
      </rPr>
      <t>2</t>
    </r>
    <r>
      <rPr>
        <b/>
        <sz val="10"/>
        <rFont val="Arial"/>
        <family val="2"/>
      </rPr>
      <t xml:space="preserve"> T </t>
    </r>
    <r>
      <rPr>
        <b/>
        <vertAlign val="superscript"/>
        <sz val="10"/>
        <rFont val="Arial"/>
        <family val="2"/>
      </rPr>
      <t>-2</t>
    </r>
    <r>
      <rPr>
        <b/>
        <sz val="10"/>
        <rFont val="Arial"/>
        <family val="2"/>
      </rPr>
      <t>]</t>
    </r>
  </si>
  <si>
    <r>
      <t>MOMENT OF INERTIA (AREA) [ L</t>
    </r>
    <r>
      <rPr>
        <b/>
        <vertAlign val="superscript"/>
        <sz val="10"/>
        <rFont val="Arial"/>
        <family val="2"/>
      </rPr>
      <t>4</t>
    </r>
    <r>
      <rPr>
        <b/>
        <sz val="10"/>
        <rFont val="Arial"/>
        <family val="2"/>
      </rPr>
      <t xml:space="preserve"> ]</t>
    </r>
  </si>
  <si>
    <t>Among Imperial, US Customary, Metric, S.I. and Other Units</t>
  </si>
  <si>
    <t>l</t>
  </si>
  <si>
    <t>litre</t>
  </si>
  <si>
    <t>tonne</t>
  </si>
  <si>
    <t>t</t>
  </si>
  <si>
    <t>bar</t>
  </si>
  <si>
    <t>a</t>
  </si>
  <si>
    <t>dyn</t>
  </si>
  <si>
    <t>erg</t>
  </si>
  <si>
    <t>lb</t>
  </si>
  <si>
    <t>pound</t>
  </si>
  <si>
    <t>pcf</t>
  </si>
  <si>
    <t>psf</t>
  </si>
  <si>
    <t>pound per square foot</t>
  </si>
  <si>
    <t>pound per cubic foot</t>
  </si>
  <si>
    <t>psi</t>
  </si>
  <si>
    <t>pound per square inch</t>
  </si>
  <si>
    <t>fps</t>
  </si>
  <si>
    <t>foot per second</t>
  </si>
  <si>
    <t>cu</t>
  </si>
  <si>
    <t>cubic foot</t>
  </si>
  <si>
    <t>N</t>
  </si>
  <si>
    <t>watt</t>
  </si>
  <si>
    <t>Pa</t>
  </si>
  <si>
    <t>mph</t>
  </si>
  <si>
    <t>mile per hour</t>
  </si>
  <si>
    <t>ksf</t>
  </si>
  <si>
    <t>ksi</t>
  </si>
  <si>
    <t>kip per square foot</t>
  </si>
  <si>
    <t>kip per square inch</t>
  </si>
  <si>
    <t>k</t>
  </si>
  <si>
    <t>kip, USCS</t>
  </si>
  <si>
    <t>mi</t>
  </si>
  <si>
    <t>mile (Imperial, USCS)</t>
  </si>
  <si>
    <t>are (SI)</t>
  </si>
  <si>
    <t>candela (SI)</t>
  </si>
  <si>
    <t>Å</t>
  </si>
  <si>
    <t>atm</t>
  </si>
  <si>
    <r>
      <t>dyne = 10</t>
    </r>
    <r>
      <rPr>
        <vertAlign val="superscript"/>
        <sz val="10"/>
        <rFont val="Arial"/>
        <family val="2"/>
      </rPr>
      <t>-5</t>
    </r>
    <r>
      <rPr>
        <sz val="10"/>
        <rFont val="Arial"/>
        <family val="2"/>
      </rPr>
      <t xml:space="preserve"> N</t>
    </r>
  </si>
  <si>
    <r>
      <t>erg = 10</t>
    </r>
    <r>
      <rPr>
        <vertAlign val="superscript"/>
        <sz val="10"/>
        <rFont val="Arial"/>
        <family val="2"/>
      </rPr>
      <t>-7</t>
    </r>
    <r>
      <rPr>
        <sz val="10"/>
        <rFont val="Arial"/>
        <family val="2"/>
      </rPr>
      <t xml:space="preserve"> J</t>
    </r>
  </si>
  <si>
    <t>100 sq m; a unit for area of farmland and real estate</t>
  </si>
  <si>
    <t>UnitsCalc User Notes</t>
  </si>
  <si>
    <t>It has been taken as 365 days, 5 hours, 48 minutes and 45.5 seconds or 365.242193287037 days (31556925.5 seconds)</t>
  </si>
  <si>
    <t>Distance at which the mean radius of the Earth's orbit subtends an angle of one second of arc.  It is used by professional astronomers to express distance to stars and galaxies. One parsec has been taken as 3.26163408 light-years has been used in this template.</t>
  </si>
  <si>
    <t>The lunar or synodic month is the time Moon takes to pass from particular phase, such as full moon, back to the same phase; its average has been taken as 29 days, 12 hours, 44 minutes and 2.8 seconds or 29.530587962963 days.</t>
  </si>
  <si>
    <t>Weight (Mass)</t>
  </si>
  <si>
    <t>Pound / sq inch [psi]</t>
  </si>
  <si>
    <t>Kips / sq inch [ksi]</t>
  </si>
  <si>
    <t>Kips / sq ft [ksf]</t>
  </si>
  <si>
    <t xml:space="preserve">  Description of Template Capabilities</t>
  </si>
  <si>
    <t xml:space="preserve">  Using Units in Structural Dynamics</t>
  </si>
  <si>
    <t xml:space="preserve">  Notes for Using UnitsCalc</t>
  </si>
  <si>
    <t xml:space="preserve">  Terms &amp; Conditions of Use</t>
  </si>
  <si>
    <t xml:space="preserve">  Revision History of UnitsCalc</t>
  </si>
  <si>
    <t>We welcome and value all comments and suggestions via email.    However,  we do not provide formal technical support.  As and when possible, your comments will be used to improve our software in the future.  Your feedback is very important to us.</t>
  </si>
  <si>
    <t xml:space="preserve">  You can download software and obtain the latest information from our web site.  The web and email address is:
    http:\\www.technouk.com
   Email: shaiq@technouk.com</t>
  </si>
  <si>
    <t>No Liability is accepted by Techno Consultants or its software authors for any direct, indirect, consequential or incidental loss or damage arising out of the software use or any mistakes and negligence in developing this software.  The organisation or person using the software bears all risks and responsibility for the quality and performance of the software.</t>
  </si>
  <si>
    <t>You can freely use this product for your personal or business design work.  This product, however, remains our copyright. You may also reproduce and distribute it provided that each copy shall be a true and complete copy, including all copyright and  trademark notices, and that such distribution shall not be for commercial purposes.</t>
  </si>
  <si>
    <t>We welcome funds to help our Research and Development work.  You are welcome to make contributions at your discretion.</t>
  </si>
  <si>
    <t xml:space="preserve"> As a guide towards making a minimum payment, you can register your use of this software.  Doing so shall enable you to  become a formal member of our user team.  Your details will be used for sharing information on future software developments via email.</t>
  </si>
  <si>
    <t xml:space="preserve">   Techno Consultants Ltd
   117 Portland Street
   Manchester M1 6ED, England.
</t>
  </si>
  <si>
    <t>With your payment please ensure to send us your full details i.e. Name, Company,  Postal Address, Telephone, Fax &amp; Email Address.  Acknowledgement will be sent via Email.</t>
  </si>
  <si>
    <t>The formal registration fee for each product is £15.00 for individuals and £45.00 for companies.  Add 17.5 percent VAT for registrations based in the UK and EC member states.  Please send cheques payable to:</t>
  </si>
  <si>
    <t>Unit Quantity</t>
  </si>
  <si>
    <t>Cu Millimetre</t>
  </si>
  <si>
    <t>Cu Decimetre</t>
  </si>
  <si>
    <t>Cu Metre</t>
  </si>
  <si>
    <t>Cu Hectometre</t>
  </si>
  <si>
    <t>Cu Kilometre</t>
  </si>
  <si>
    <t>Cu Inch</t>
  </si>
  <si>
    <t>Cu Foot</t>
  </si>
  <si>
    <t>Cu Yard</t>
  </si>
  <si>
    <t>Cu Furlong</t>
  </si>
  <si>
    <t>Cu Mile</t>
  </si>
  <si>
    <t>a metric unit of length equal to one hundred metres.</t>
  </si>
  <si>
    <t xml:space="preserve">a metric unit of measurement equal to 1,000 metres </t>
  </si>
  <si>
    <t>in, unit of linear measure equal to one twelfth of a foot, 25.4 mm exactly</t>
  </si>
  <si>
    <t>ft, a unit of linear measure equal to 12 inches (304.8 mm exactly).</t>
  </si>
  <si>
    <t>a unit of linear measure equal to 3 feet (914.4 mm exactly).</t>
  </si>
  <si>
    <t>In a consistent set of units, one unit of force applied to one unit of mass must equal to one unit of acceleration i.e.</t>
  </si>
  <si>
    <t xml:space="preserve">In dynamic analysis of structures, it is essential to use a consistent set of units.  This means that in calculations Newton's second law, force equal mass times acceleration, is identically satisfied without using scale or conversion factors.  </t>
  </si>
  <si>
    <t>Pascal</t>
  </si>
  <si>
    <t>Light-year</t>
  </si>
  <si>
    <t>Kelvin (K)</t>
  </si>
  <si>
    <t>Fahrenheit</t>
  </si>
  <si>
    <t xml:space="preserve">it is a unit of force equal to the force required to give a mass of one pound an acceleration of one foot per second per second.
</t>
  </si>
  <si>
    <t>It is a unit of force that, acting on a mass of one gram, increases its velocity by one centimetre per second every second along the direction that it acts (abbr.: dyn).</t>
  </si>
  <si>
    <t>Joule</t>
  </si>
  <si>
    <r>
      <t>AREA [ L</t>
    </r>
    <r>
      <rPr>
        <b/>
        <vertAlign val="superscript"/>
        <sz val="10"/>
        <rFont val="Arial"/>
        <family val="2"/>
      </rPr>
      <t>2</t>
    </r>
    <r>
      <rPr>
        <b/>
        <sz val="10"/>
        <rFont val="Arial"/>
        <family val="2"/>
      </rPr>
      <t xml:space="preserve"> ]</t>
    </r>
  </si>
  <si>
    <t>Consistent Set of Units</t>
  </si>
  <si>
    <t>Force</t>
  </si>
  <si>
    <t>Mass</t>
  </si>
  <si>
    <t>Length</t>
  </si>
  <si>
    <t>Pressure</t>
  </si>
  <si>
    <t>Density</t>
  </si>
  <si>
    <t>g</t>
  </si>
  <si>
    <t>Newton</t>
  </si>
  <si>
    <t>cm</t>
  </si>
  <si>
    <t>dyne</t>
  </si>
  <si>
    <t>gram/g</t>
  </si>
  <si>
    <t>slug</t>
  </si>
  <si>
    <t>in</t>
  </si>
  <si>
    <t>kgf</t>
  </si>
  <si>
    <t>gramf</t>
  </si>
  <si>
    <t>lbf</t>
  </si>
  <si>
    <t>lbf/g</t>
  </si>
  <si>
    <t>Free fall (g)</t>
  </si>
  <si>
    <t>Circles</t>
  </si>
  <si>
    <t>Degrees</t>
  </si>
  <si>
    <t>Minutes</t>
  </si>
  <si>
    <t>Octants</t>
  </si>
  <si>
    <t>Quadrants</t>
  </si>
  <si>
    <t>Radians</t>
  </si>
  <si>
    <t>Revolutions</t>
  </si>
  <si>
    <t>Seconds</t>
  </si>
  <si>
    <t>Sextants</t>
  </si>
  <si>
    <t>Turns</t>
  </si>
  <si>
    <t>Furlong</t>
  </si>
  <si>
    <t>Yard</t>
  </si>
  <si>
    <t>Mile</t>
  </si>
  <si>
    <t>Inch</t>
  </si>
  <si>
    <t>Foot</t>
  </si>
  <si>
    <t>Hectare</t>
  </si>
  <si>
    <t>Acre</t>
  </si>
  <si>
    <t>UK Nautical Mile</t>
  </si>
  <si>
    <t>Micron</t>
  </si>
  <si>
    <t>m</t>
  </si>
  <si>
    <t>Hectometre</t>
  </si>
  <si>
    <t>Angstrom</t>
  </si>
  <si>
    <t>Millimetre</t>
  </si>
  <si>
    <t>Centimetre</t>
  </si>
  <si>
    <t>Decimetre</t>
  </si>
  <si>
    <t>metre</t>
  </si>
  <si>
    <t>Kilometre</t>
  </si>
  <si>
    <t>Are</t>
  </si>
  <si>
    <t>Centilitre</t>
  </si>
  <si>
    <t>Decilitre</t>
  </si>
  <si>
    <r>
      <t xml:space="preserve">To navigate among various conversion tables, click the </t>
    </r>
    <r>
      <rPr>
        <u val="single"/>
        <sz val="10"/>
        <color indexed="12"/>
        <rFont val="Arial"/>
        <family val="2"/>
      </rPr>
      <t>Home</t>
    </r>
    <r>
      <rPr>
        <sz val="10"/>
        <rFont val="Arial"/>
        <family val="2"/>
      </rPr>
      <t xml:space="preserve"> button in top left cell of the table.  This takes you to the Homepage of </t>
    </r>
    <r>
      <rPr>
        <sz val="10"/>
        <color indexed="12"/>
        <rFont val="Arial"/>
        <family val="2"/>
      </rPr>
      <t>UnitsCalc</t>
    </r>
    <r>
      <rPr>
        <sz val="10"/>
        <rFont val="Arial"/>
        <family val="2"/>
      </rPr>
      <t xml:space="preserve"> for going to other conversion tables.</t>
    </r>
  </si>
  <si>
    <t>V20011128</t>
  </si>
  <si>
    <t>Final Version 1 issued on 28 November 2001</t>
  </si>
  <si>
    <t>Litre</t>
  </si>
  <si>
    <t>Kilolitre</t>
  </si>
  <si>
    <t>Hectolitre</t>
  </si>
  <si>
    <t>UK Quart</t>
  </si>
  <si>
    <t>UK Pint</t>
  </si>
  <si>
    <t>UK Gill</t>
  </si>
  <si>
    <t>UK Fluid Ounce</t>
  </si>
  <si>
    <t>UK Gallon</t>
  </si>
  <si>
    <t>UK Peck</t>
  </si>
  <si>
    <t>UK Bushel</t>
  </si>
  <si>
    <t>US Pint</t>
  </si>
  <si>
    <t>US Quart</t>
  </si>
  <si>
    <t>US Gallon</t>
  </si>
  <si>
    <t>Tablespoon</t>
  </si>
  <si>
    <t>Teaspoon</t>
  </si>
  <si>
    <t>US Fluid Ounce</t>
  </si>
  <si>
    <t>Cup</t>
  </si>
  <si>
    <t>US Pint Dry</t>
  </si>
  <si>
    <t>US Quart Dry</t>
  </si>
  <si>
    <t>US Bushel Dry</t>
  </si>
  <si>
    <t>US Peck Dry</t>
  </si>
  <si>
    <t>US Barrel</t>
  </si>
  <si>
    <t>Centuries</t>
  </si>
  <si>
    <t>Days</t>
  </si>
  <si>
    <t>Decades</t>
  </si>
  <si>
    <t>Fortnights</t>
  </si>
  <si>
    <t>Hours</t>
  </si>
  <si>
    <t>Millenniums</t>
  </si>
  <si>
    <t>Milliseconds</t>
  </si>
  <si>
    <t>Nanoseconds</t>
  </si>
  <si>
    <t>Weeks</t>
  </si>
  <si>
    <t>Years</t>
  </si>
  <si>
    <t>Months</t>
  </si>
  <si>
    <t>Features</t>
  </si>
  <si>
    <t>¨</t>
  </si>
  <si>
    <t>Introduction</t>
  </si>
  <si>
    <t>Loading the Template on to your Computer</t>
  </si>
  <si>
    <t xml:space="preserve">              C:\Program Files\Microsoft Office\Templates</t>
  </si>
  <si>
    <t>If you are using Excel 2000, the path to this folder is:</t>
  </si>
  <si>
    <t xml:space="preserve">              C:\Windows\Application Data\Microsoft\Templates</t>
  </si>
  <si>
    <t>Newtons / cu metre</t>
  </si>
  <si>
    <t>Newtons / cu millimetre</t>
  </si>
  <si>
    <t>Pound / cu inch</t>
  </si>
  <si>
    <r>
      <t>Density (Weight per Unit Volume):</t>
    </r>
    <r>
      <rPr>
        <sz val="10"/>
        <rFont val="Arial"/>
        <family val="2"/>
      </rPr>
      <t xml:space="preserve">
Dynes/cu centimetre, Newtons/cu millimetre, Newtons/cu centimetre, Newtons/cu metre, Kilonewtons/cu millimetre, Kilonewtons/cu centimetre, Kilonewtons/cu metre, Kilograms/cu millimetre, Kilograms/cu centimetre, Kilograms/cu metre, Tonnes/cu millimetre, Tonnes/cu centimetre, Tonnes/cu metre, Pound/cu inch, Pounds/cu ft, Pounds/cu yard, Kips/cu inch, Kips/cu ft, Kips/cu yard, Ton/cu inch, Tons/cu foot, Tons/cu yard</t>
    </r>
  </si>
  <si>
    <r>
      <t>Force ;Weight:</t>
    </r>
    <r>
      <rPr>
        <sz val="10"/>
        <rFont val="Arial"/>
        <family val="2"/>
      </rPr>
      <t xml:space="preserve">
Grains, Drams, Ounces, Pounds, Stones, Quarters, Hundredweights, Tons (long), Kips, Poundal, Hundredweights (short), Tons (short), Slugs , Millinewtons, Newtons, Kilonewtons, Carats, Micrograms, Milligrams,  Grams, Kilograms, Tonnes, Dyne, Pennyweights, Ounces (troy), Pounds (troy)</t>
    </r>
  </si>
  <si>
    <t>Newtons / decimetre</t>
  </si>
  <si>
    <t>Kilonewtons / decimetre</t>
  </si>
  <si>
    <t>Kilogram / decimetre</t>
  </si>
  <si>
    <t>Tonnes / decimetre</t>
  </si>
  <si>
    <r>
      <t>Angle (Plane):</t>
    </r>
    <r>
      <rPr>
        <sz val="10"/>
        <rFont val="Arial"/>
        <family val="2"/>
      </rPr>
      <t xml:space="preserve">
Seconds, Minutes, Degrees, Grads, Octants, Sextants, Radians, Quadrants, Circles, Revolutions, Turns</t>
    </r>
  </si>
  <si>
    <r>
      <t xml:space="preserve">When ending a session of </t>
    </r>
    <r>
      <rPr>
        <sz val="10"/>
        <color indexed="12"/>
        <rFont val="Arial"/>
        <family val="2"/>
      </rPr>
      <t>UnitsCalc</t>
    </r>
    <r>
      <rPr>
        <sz val="10"/>
        <rFont val="Arial"/>
        <family val="2"/>
      </rPr>
      <t xml:space="preserve">, Excel displays a dialogue box for saving the UnitsCalc file.  Select </t>
    </r>
    <r>
      <rPr>
        <sz val="10"/>
        <color indexed="10"/>
        <rFont val="Arial"/>
        <family val="2"/>
      </rPr>
      <t>"NO"</t>
    </r>
    <r>
      <rPr>
        <sz val="10"/>
        <rFont val="Arial"/>
        <family val="2"/>
      </rPr>
      <t xml:space="preserve"> to this option as changes to the </t>
    </r>
    <r>
      <rPr>
        <sz val="10"/>
        <color indexed="12"/>
        <rFont val="Arial"/>
        <family val="2"/>
      </rPr>
      <t>UnitsCal</t>
    </r>
    <r>
      <rPr>
        <sz val="10"/>
        <rFont val="Arial"/>
        <family val="2"/>
      </rPr>
      <t xml:space="preserve"> file do not require saving.</t>
    </r>
  </si>
  <si>
    <t>Newtons / sq metre [Pascal]</t>
  </si>
  <si>
    <r>
      <t>Force per Unit Length:</t>
    </r>
    <r>
      <rPr>
        <sz val="10"/>
        <rFont val="Arial"/>
        <family val="2"/>
      </rPr>
      <t xml:space="preserve">
Newtons/millimetre, Newtons/centimetre, Newtons/decimetre,  Newtons/metre, Kilonewtons/millimetre, Kilonewtons/centimetre,  Kilonewtons/decimetre, Kilonewtons/metre, Kilogram/millimetre, Kilogram/centimetre,  Kilogram/decimetre, Kilograms/metre, Tonnes/millimetre, Tonnes/centimetre,  Tonnes/decimetre, Tonnes/metre, Pounds/inch, Pounds/foot, Pounds/yard, Kips/inch, Kips/foot, Kips/yard, Tons/inch, Tons/foot, Tons/yard</t>
    </r>
  </si>
  <si>
    <r>
      <t>Section Modulus:</t>
    </r>
    <r>
      <rPr>
        <sz val="10"/>
        <rFont val="Arial"/>
        <family val="2"/>
      </rPr>
      <t xml:space="preserve">
Millimetre</t>
    </r>
    <r>
      <rPr>
        <vertAlign val="superscript"/>
        <sz val="10"/>
        <rFont val="Arial"/>
        <family val="2"/>
      </rPr>
      <t>3</t>
    </r>
    <r>
      <rPr>
        <sz val="10"/>
        <rFont val="Arial"/>
        <family val="2"/>
      </rPr>
      <t>, Centimetre</t>
    </r>
    <r>
      <rPr>
        <vertAlign val="superscript"/>
        <sz val="10"/>
        <rFont val="Arial"/>
        <family val="2"/>
      </rPr>
      <t>3</t>
    </r>
    <r>
      <rPr>
        <sz val="10"/>
        <rFont val="Arial"/>
        <family val="2"/>
      </rPr>
      <t>, Decimetre</t>
    </r>
    <r>
      <rPr>
        <vertAlign val="superscript"/>
        <sz val="10"/>
        <rFont val="Arial"/>
        <family val="2"/>
      </rPr>
      <t>3</t>
    </r>
    <r>
      <rPr>
        <sz val="10"/>
        <rFont val="Arial"/>
        <family val="2"/>
      </rPr>
      <t>, Metre</t>
    </r>
    <r>
      <rPr>
        <vertAlign val="superscript"/>
        <sz val="10"/>
        <rFont val="Arial"/>
        <family val="2"/>
      </rPr>
      <t>3</t>
    </r>
    <r>
      <rPr>
        <sz val="10"/>
        <rFont val="Arial"/>
        <family val="2"/>
      </rPr>
      <t>, Hectometre</t>
    </r>
    <r>
      <rPr>
        <vertAlign val="superscript"/>
        <sz val="10"/>
        <rFont val="Arial"/>
        <family val="2"/>
      </rPr>
      <t>3</t>
    </r>
    <r>
      <rPr>
        <sz val="10"/>
        <rFont val="Arial"/>
        <family val="2"/>
      </rPr>
      <t>, Kilometre</t>
    </r>
    <r>
      <rPr>
        <vertAlign val="superscript"/>
        <sz val="10"/>
        <rFont val="Arial"/>
        <family val="2"/>
      </rPr>
      <t>3</t>
    </r>
    <r>
      <rPr>
        <sz val="10"/>
        <rFont val="Arial"/>
        <family val="2"/>
      </rPr>
      <t>, Inch</t>
    </r>
    <r>
      <rPr>
        <vertAlign val="superscript"/>
        <sz val="10"/>
        <rFont val="Arial"/>
        <family val="2"/>
      </rPr>
      <t>3</t>
    </r>
    <r>
      <rPr>
        <sz val="10"/>
        <rFont val="Arial"/>
        <family val="2"/>
      </rPr>
      <t>, Foot</t>
    </r>
    <r>
      <rPr>
        <vertAlign val="superscript"/>
        <sz val="10"/>
        <rFont val="Arial"/>
        <family val="2"/>
      </rPr>
      <t>3</t>
    </r>
    <r>
      <rPr>
        <sz val="10"/>
        <rFont val="Arial"/>
        <family val="2"/>
      </rPr>
      <t>, Yard</t>
    </r>
    <r>
      <rPr>
        <vertAlign val="superscript"/>
        <sz val="10"/>
        <rFont val="Arial"/>
        <family val="2"/>
      </rPr>
      <t>3</t>
    </r>
    <r>
      <rPr>
        <sz val="10"/>
        <rFont val="Arial"/>
        <family val="2"/>
      </rPr>
      <t>, Furlong</t>
    </r>
    <r>
      <rPr>
        <vertAlign val="superscript"/>
        <sz val="10"/>
        <rFont val="Arial"/>
        <family val="2"/>
      </rPr>
      <t>3</t>
    </r>
    <r>
      <rPr>
        <sz val="10"/>
        <rFont val="Arial"/>
        <family val="2"/>
      </rPr>
      <t>, Mile</t>
    </r>
    <r>
      <rPr>
        <vertAlign val="superscript"/>
        <sz val="10"/>
        <rFont val="Arial"/>
        <family val="2"/>
      </rPr>
      <t>3</t>
    </r>
  </si>
  <si>
    <r>
      <t>UnitsCalc</t>
    </r>
    <r>
      <rPr>
        <sz val="10"/>
        <rFont val="Arial"/>
        <family val="2"/>
      </rPr>
      <t xml:space="preserve"> is an interactive Excel Template for conversion of measurements among various units.  It deals with unit systems of the past and those in use today.  The established systems of units covered are: British Imperial System (BIS), French Metric System, U.S. Customary System (USCS) and International System of units SI. In addition, various other units commonly used in practice are also included.</t>
    </r>
  </si>
  <si>
    <r>
      <t xml:space="preserve">In short, </t>
    </r>
    <r>
      <rPr>
        <sz val="10"/>
        <color indexed="12"/>
        <rFont val="Arial"/>
        <family val="2"/>
      </rPr>
      <t>UnitsCalc</t>
    </r>
    <r>
      <rPr>
        <sz val="10"/>
        <rFont val="Arial"/>
        <family val="2"/>
      </rPr>
      <t xml:space="preserve"> is a simple tool for the conversion of measurement units in use on the planet earth. As the mixture of these units employ different fundamental quantities in mass and force, the user needs to exercise care in using these units correctly. To this end, study of the next worksheet "Consistent Set of Units" might be found helpful.</t>
    </r>
  </si>
  <si>
    <t>Nautical Mile (UK)</t>
  </si>
  <si>
    <t>Nautical Mile (International)</t>
  </si>
  <si>
    <r>
      <t>It is also possible to use other sets of units.  For example, if kN is chosen as the unit of force and one m/s</t>
    </r>
    <r>
      <rPr>
        <vertAlign val="superscript"/>
        <sz val="10"/>
        <rFont val="Arial"/>
        <family val="2"/>
      </rPr>
      <t>2</t>
    </r>
    <r>
      <rPr>
        <sz val="10"/>
        <rFont val="Arial"/>
        <family val="2"/>
      </rPr>
      <t xml:space="preserve"> as the unit of acceleration, then the unit of mass must be such that 1 kN of force will accelerate it at 1 m/s</t>
    </r>
    <r>
      <rPr>
        <vertAlign val="superscript"/>
        <sz val="10"/>
        <rFont val="Arial"/>
        <family val="2"/>
      </rPr>
      <t>2</t>
    </r>
    <r>
      <rPr>
        <sz val="10"/>
        <rFont val="Arial"/>
        <family val="2"/>
      </rPr>
      <t>.  The unit of mass that satisfies this criteria is 1 Tonne i.e. 1000 kilograms (Mg).</t>
    </r>
  </si>
  <si>
    <t>To load and use the Template in Excel 97 or Excel 2000, choose:</t>
  </si>
  <si>
    <t>s</t>
  </si>
  <si>
    <t>Disclaimer</t>
  </si>
  <si>
    <t>Your Usage</t>
  </si>
  <si>
    <t>The software is intended to help you save time and effort in calculations.  Please check and validate all results carefully.  You are responsible and liable for all consequences of its use.</t>
  </si>
  <si>
    <t>Software Distribution Policy</t>
  </si>
  <si>
    <t>Funding and Formal Registration</t>
  </si>
  <si>
    <t>Technical Support and Contacting Us</t>
  </si>
  <si>
    <t>As a back up,  you can also use the following web and email addresses:
   http:\\www.structures.freeserve.co.uk
   Email:shaiq@structures.freeserve.co.uk</t>
  </si>
  <si>
    <t>Revision History of UnitsCalc</t>
  </si>
  <si>
    <t>Terms &amp; Conditions of UnitsCalc Use</t>
  </si>
  <si>
    <t>To load UnitsCalc on to your computer, copy this file into Microsoft Office folder for its Templates.  Generally the path to this folder in Excel 97 is:</t>
  </si>
  <si>
    <t>Using UnitsCalc</t>
  </si>
  <si>
    <t>TIME [ T ]</t>
  </si>
  <si>
    <r>
      <t>VOLUME [ L</t>
    </r>
    <r>
      <rPr>
        <b/>
        <vertAlign val="superscript"/>
        <sz val="10"/>
        <rFont val="Arial"/>
        <family val="2"/>
      </rPr>
      <t>3</t>
    </r>
    <r>
      <rPr>
        <b/>
        <sz val="10"/>
        <rFont val="Arial"/>
        <family val="2"/>
      </rPr>
      <t xml:space="preserve"> ]</t>
    </r>
  </si>
  <si>
    <t>Int. Nautical Mile</t>
  </si>
  <si>
    <r>
      <t xml:space="preserve">ACCELERATION [ L T  </t>
    </r>
    <r>
      <rPr>
        <b/>
        <vertAlign val="superscript"/>
        <sz val="10"/>
        <rFont val="Arial"/>
        <family val="2"/>
      </rPr>
      <t>-2</t>
    </r>
    <r>
      <rPr>
        <b/>
        <sz val="10"/>
        <rFont val="Arial"/>
        <family val="2"/>
      </rPr>
      <t xml:space="preserve"> ]</t>
    </r>
  </si>
  <si>
    <t>kg</t>
  </si>
  <si>
    <t>Grains</t>
  </si>
  <si>
    <t>Ounces</t>
  </si>
  <si>
    <t>Ounces (troy)</t>
  </si>
  <si>
    <t>Pennyweights</t>
  </si>
  <si>
    <t>Pounds</t>
  </si>
  <si>
    <t>Stones</t>
  </si>
  <si>
    <t>Tons (long)</t>
  </si>
  <si>
    <t>Drams</t>
  </si>
  <si>
    <t>Tons (short)</t>
  </si>
  <si>
    <t>Pounds (troy)</t>
  </si>
  <si>
    <t>Quarters</t>
  </si>
  <si>
    <t>Newtons</t>
  </si>
  <si>
    <t>Poundal</t>
  </si>
  <si>
    <t>Millinewtons</t>
  </si>
  <si>
    <t>Dyne</t>
  </si>
  <si>
    <t>Atmosphere</t>
  </si>
  <si>
    <t>Bar</t>
  </si>
  <si>
    <t>Inches of Mercury</t>
  </si>
  <si>
    <t>Microbar</t>
  </si>
  <si>
    <t>Millibar</t>
  </si>
  <si>
    <t>Inches of Water</t>
  </si>
  <si>
    <t>Feet of Water</t>
  </si>
  <si>
    <t>Yards of Water</t>
  </si>
  <si>
    <t>Metres of Water</t>
  </si>
  <si>
    <t>Newtons / metre</t>
  </si>
  <si>
    <t>Newtons / millimetre</t>
  </si>
  <si>
    <t>Kilonewtons / metre</t>
  </si>
  <si>
    <t>Kilonewtons / millimetre</t>
  </si>
  <si>
    <t>Kilonewtons / centimetre</t>
  </si>
  <si>
    <t>Kilograms / metre</t>
  </si>
  <si>
    <t>Kilogram / centimetre</t>
  </si>
  <si>
    <t>Kilogram / millimetre</t>
  </si>
  <si>
    <r>
      <t xml:space="preserve">Area:
</t>
    </r>
    <r>
      <rPr>
        <sz val="10"/>
        <rFont val="Arial"/>
        <family val="2"/>
      </rPr>
      <t>Sq Millimetre, Sq Centimetre, Sq Decimetre, Sq Metre, Are, Hectare, Sq Kilometre, Sq Inch, Sq Foot, Sq Yard, Sq Furlong, Sq Mile, Acre, Int. sq Nautical Mile, UK sq Nautical Mile</t>
    </r>
  </si>
  <si>
    <t>Tonnes / millimetre</t>
  </si>
  <si>
    <t>Tonnes / metre</t>
  </si>
  <si>
    <t>Tonnes / centimetre</t>
  </si>
  <si>
    <t>Pounds / yard</t>
  </si>
  <si>
    <t>Pounds / foot</t>
  </si>
  <si>
    <t>Pounds / inch</t>
  </si>
  <si>
    <t>Tons / yard</t>
  </si>
  <si>
    <t>Tons / foot</t>
  </si>
  <si>
    <t>Tons / inch</t>
  </si>
  <si>
    <t>Metre / sec / sec</t>
  </si>
  <si>
    <t>Miles / hour / minute</t>
  </si>
  <si>
    <t>Miles / hour / second</t>
  </si>
  <si>
    <t>Yards / sec / sec</t>
  </si>
  <si>
    <t>Feet / sec / sec</t>
  </si>
  <si>
    <t>Inches / sec / sec</t>
  </si>
  <si>
    <t>Int. Nautical Mile / hour / second</t>
  </si>
  <si>
    <t>UK Nautical Miles / hour / second</t>
  </si>
  <si>
    <t>ft</t>
  </si>
  <si>
    <t>User Registration No:</t>
  </si>
  <si>
    <t>Unregistered Copy</t>
  </si>
  <si>
    <t>No</t>
  </si>
  <si>
    <t>Documentation</t>
  </si>
  <si>
    <t>Area</t>
  </si>
  <si>
    <t>Volume</t>
  </si>
  <si>
    <t>Newtons millimetre</t>
  </si>
  <si>
    <t>Kilonewtons metre</t>
  </si>
  <si>
    <t>Kilonewtons centimetre</t>
  </si>
  <si>
    <t>Kilonewtons millimetre</t>
  </si>
  <si>
    <t>Kilograms metre</t>
  </si>
  <si>
    <t>Kilogram centimetre</t>
  </si>
  <si>
    <t>Kilogram millimetre</t>
  </si>
  <si>
    <t>Tonnes metre</t>
  </si>
  <si>
    <t>Tonnes centimetre</t>
  </si>
  <si>
    <t>Tonnes millimetre</t>
  </si>
  <si>
    <t>Pounds yard</t>
  </si>
  <si>
    <t>Pounds foot</t>
  </si>
  <si>
    <t>Pounds inch</t>
  </si>
  <si>
    <t>Tons yard</t>
  </si>
  <si>
    <t>Tons foot</t>
  </si>
  <si>
    <t>Tons inch</t>
  </si>
  <si>
    <t>Acceleration</t>
  </si>
  <si>
    <t>Hundredweights</t>
  </si>
  <si>
    <t xml:space="preserve">Micrograms </t>
  </si>
  <si>
    <t xml:space="preserve">Milligrams </t>
  </si>
  <si>
    <t xml:space="preserve">Carats </t>
  </si>
  <si>
    <t xml:space="preserve">Grams  </t>
  </si>
  <si>
    <t xml:space="preserve">Kilograms </t>
  </si>
  <si>
    <t xml:space="preserve">Tonnes </t>
  </si>
  <si>
    <t xml:space="preserve">Slugs </t>
  </si>
  <si>
    <t>UK Gallons / day</t>
  </si>
  <si>
    <t>UK Gallons / hour</t>
  </si>
  <si>
    <t>UK Gallons / minute</t>
  </si>
  <si>
    <t>UK Gallons / second</t>
  </si>
  <si>
    <t>US Gallons / day</t>
  </si>
  <si>
    <t>US Gallons / hour</t>
  </si>
  <si>
    <t>US Gallons / minute</t>
  </si>
  <si>
    <t>US Gallons / second</t>
  </si>
  <si>
    <t>US barrels / day</t>
  </si>
  <si>
    <t>Kips</t>
  </si>
  <si>
    <t>Time</t>
  </si>
  <si>
    <t>Celsius</t>
  </si>
  <si>
    <t>Kelvin</t>
  </si>
  <si>
    <t>Centimetres / hour</t>
  </si>
  <si>
    <t>Centimetres / minute</t>
  </si>
  <si>
    <t>Centimetres / second</t>
  </si>
  <si>
    <t>Metres / hour</t>
  </si>
  <si>
    <t>Metres / minute</t>
  </si>
  <si>
    <t>Metres / second</t>
  </si>
  <si>
    <t>Kilometres / hour</t>
  </si>
  <si>
    <t>Kilometres / minute</t>
  </si>
  <si>
    <t>Kilometres / second</t>
  </si>
  <si>
    <t>Mach</t>
  </si>
  <si>
    <t>Inches / hour</t>
  </si>
  <si>
    <t>Inches / minute</t>
  </si>
  <si>
    <t>Inches / second</t>
  </si>
  <si>
    <t>Feet / hour</t>
  </si>
  <si>
    <t>Feet / minute</t>
  </si>
  <si>
    <t>Feet / second</t>
  </si>
  <si>
    <t>Yards / hour</t>
  </si>
  <si>
    <t>Yards / minute</t>
  </si>
  <si>
    <t>Yards / second</t>
  </si>
  <si>
    <t>Miles / minute</t>
  </si>
  <si>
    <t>Miles / second</t>
  </si>
  <si>
    <t>Int. Knots</t>
  </si>
  <si>
    <t>UK Knots</t>
  </si>
  <si>
    <t>Speed</t>
  </si>
  <si>
    <t>Temperature</t>
  </si>
  <si>
    <t>C</t>
  </si>
  <si>
    <t>Parsec</t>
  </si>
  <si>
    <t>TEMPERATURE [ t ]</t>
  </si>
  <si>
    <t>Distance; Length</t>
  </si>
  <si>
    <t>DISTANCE; LENGTH [ L ]</t>
  </si>
  <si>
    <t>Horsepower</t>
  </si>
  <si>
    <t>Calories/second</t>
  </si>
  <si>
    <t>Calories</t>
  </si>
  <si>
    <t>Kilocalories</t>
  </si>
  <si>
    <t>Kilowatt hour</t>
  </si>
  <si>
    <t>Horsepower-hours</t>
  </si>
  <si>
    <t>Calorie</t>
  </si>
  <si>
    <t>Megawatts</t>
  </si>
  <si>
    <t>Horsepower (metric)</t>
  </si>
  <si>
    <t>Therm</t>
  </si>
  <si>
    <t>Energy; Work; Heat</t>
  </si>
  <si>
    <t>Power</t>
  </si>
  <si>
    <t>Stere</t>
  </si>
  <si>
    <t>Kips yard</t>
  </si>
  <si>
    <t>Kips foot</t>
  </si>
  <si>
    <t>Kips inch</t>
  </si>
  <si>
    <t>Lunar Months</t>
  </si>
  <si>
    <t>Lunar Years</t>
  </si>
  <si>
    <t>Known Value =</t>
  </si>
  <si>
    <r>
      <t>UnitsCalc</t>
    </r>
    <r>
      <rPr>
        <b/>
        <sz val="12"/>
        <color indexed="12"/>
        <rFont val="Arial"/>
        <family val="2"/>
      </rPr>
      <t xml:space="preserve"> for Conversion of Measurements</t>
    </r>
  </si>
  <si>
    <t>C (speed of light)</t>
  </si>
  <si>
    <t>Kilocalories/hour</t>
  </si>
  <si>
    <t>V20011205</t>
  </si>
  <si>
    <r>
      <t>User Notes for UnitsCalc</t>
    </r>
    <r>
      <rPr>
        <i/>
        <sz val="12"/>
        <color indexed="12"/>
        <rFont val="Arial"/>
        <family val="2"/>
      </rPr>
      <t xml:space="preserve">
Interactive Conversion of Measurement Values in Various Units
by
Dr Shaiq U.R. Khan
BEng (Civil), MEng, PhD, CEng, FIStructE
5  December 2001
</t>
    </r>
    <r>
      <rPr>
        <b/>
        <i/>
        <sz val="12"/>
        <color indexed="12"/>
        <rFont val="Arial"/>
        <family val="2"/>
      </rPr>
      <t>Techno Consultants Ltd</t>
    </r>
    <r>
      <rPr>
        <i/>
        <sz val="12"/>
        <color indexed="12"/>
        <rFont val="Arial"/>
        <family val="2"/>
      </rPr>
      <t xml:space="preserve">
117 Portland Street, Manchester M1 6ED, England</t>
    </r>
  </si>
  <si>
    <t xml:space="preserve">               File, New and the select the file UnitsCalc20011205-.xlt</t>
  </si>
  <si>
    <r>
      <t>Features of UnitsCalc</t>
    </r>
    <r>
      <rPr>
        <i/>
        <sz val="12"/>
        <color indexed="12"/>
        <rFont val="Arial"/>
        <family val="2"/>
      </rPr>
      <t xml:space="preserve">
Interactive Conversion of Measurement Values in Various Units
by
Dr Shaiq U.R. Khan
BEng (Civil), MEng, PhD, CEng, FIStructE
05  December 2001
</t>
    </r>
    <r>
      <rPr>
        <b/>
        <i/>
        <sz val="12"/>
        <color indexed="12"/>
        <rFont val="Arial"/>
        <family val="2"/>
      </rPr>
      <t>Techno Consultants Ltd</t>
    </r>
    <r>
      <rPr>
        <i/>
        <sz val="12"/>
        <color indexed="12"/>
        <rFont val="Arial"/>
        <family val="2"/>
      </rPr>
      <t xml:space="preserve">
117 Portland Street, Manchester M1 6ED, England</t>
    </r>
  </si>
  <si>
    <r>
      <t xml:space="preserve">Loading of </t>
    </r>
    <r>
      <rPr>
        <sz val="10"/>
        <color indexed="12"/>
        <rFont val="Arial"/>
        <family val="2"/>
      </rPr>
      <t>UnitsCalc</t>
    </r>
    <r>
      <rPr>
        <sz val="10"/>
        <rFont val="Arial"/>
        <family val="2"/>
      </rPr>
      <t xml:space="preserve"> in Excel leads to its Homepage.  This page displays command buttons to all conversion tables and documentation pages in </t>
    </r>
    <r>
      <rPr>
        <sz val="10"/>
        <color indexed="12"/>
        <rFont val="Arial"/>
        <family val="2"/>
      </rPr>
      <t>UnitsCalc.</t>
    </r>
    <r>
      <rPr>
        <sz val="10"/>
        <rFont val="Arial"/>
        <family val="2"/>
      </rPr>
      <t xml:space="preserve"> Clicking a button displays any desired conversion table or documentation page.</t>
    </r>
  </si>
  <si>
    <r>
      <t>To convert a measurement from any one unit to its equivalent in rest of the units, type your value in cell C2 (</t>
    </r>
    <r>
      <rPr>
        <i/>
        <sz val="10"/>
        <color indexed="57"/>
        <rFont val="Arial"/>
        <family val="2"/>
      </rPr>
      <t>shaded light green</t>
    </r>
    <r>
      <rPr>
        <i/>
        <sz val="10"/>
        <color indexed="12"/>
        <rFont val="Arial"/>
        <family val="2"/>
      </rPr>
      <t>).  After pressing enter/return, use a mouse click in any desired cell of Column-C to select your original unit. The mouse click changes row colour of your original unit to yellow and instantly converts the measurement in cell C2 to its equivalents in respective rows of all other units (cells shaded light blue).</t>
    </r>
  </si>
  <si>
    <t>To copy a converted value to the Clipboard, click its unit name in right column of the conversion table.  This displays a dialog box showing the value copied to the clipboard.  Click OK in this dialog box.  The copied value can now be pasted in another worksheet or application e.g. MS word.</t>
  </si>
  <si>
    <r>
      <t>UnitsCalc</t>
    </r>
    <r>
      <rPr>
        <sz val="10"/>
        <rFont val="Arial"/>
        <family val="2"/>
      </rPr>
      <t xml:space="preserve"> is supplied as an Excel 97/2000 Template, having .XLT as its filename extension.  </t>
    </r>
  </si>
  <si>
    <r>
      <t xml:space="preserve">If you receive an Excel Warning about running Macros and are prompted for whether to load them, answer YES to Load and Enable Macros.  </t>
    </r>
    <r>
      <rPr>
        <sz val="10"/>
        <color indexed="12"/>
        <rFont val="Arial"/>
        <family val="2"/>
      </rPr>
      <t>UnitsCalc</t>
    </r>
    <r>
      <rPr>
        <sz val="10"/>
        <rFont val="Arial"/>
        <family val="2"/>
      </rPr>
      <t xml:space="preserve"> incorporates VB Macros and to allow your computer to use them is vital for its operation.</t>
    </r>
  </si>
  <si>
    <t>Control for decimal places in normal size numbers.</t>
  </si>
  <si>
    <t>Help button for instant instructions of use.</t>
  </si>
  <si>
    <t>A mouse click converts a known measurement from any one unit to rest of the units in a convesion table.</t>
  </si>
  <si>
    <t>Watts (Joules/second)</t>
  </si>
  <si>
    <t>Kips / inch</t>
  </si>
  <si>
    <t>Kips / foot</t>
  </si>
  <si>
    <t>Kips / yard</t>
  </si>
  <si>
    <t>Chu</t>
  </si>
  <si>
    <t>Btu</t>
  </si>
  <si>
    <t>Btu (British Thermal Unit)</t>
  </si>
  <si>
    <t>foot-candle</t>
  </si>
  <si>
    <t>a unit of illumination equal to that given by a source of one candela at a distance of one foot.</t>
  </si>
  <si>
    <t>lux (lx)</t>
  </si>
  <si>
    <t>SI unit of illuminance, equal to one lumen per square metre.</t>
  </si>
  <si>
    <t>Fathom</t>
  </si>
  <si>
    <t>a unit of length equal to six feet, chiefly used in reference to the depth of water.</t>
  </si>
  <si>
    <t>an eighth of a mile, 220 yards</t>
  </si>
  <si>
    <t>Foot-candles</t>
  </si>
  <si>
    <t>Lux</t>
  </si>
  <si>
    <t>Illumination</t>
  </si>
  <si>
    <t>ILLUMINATION</t>
  </si>
  <si>
    <t>equal to 550 foot-pounds per second</t>
  </si>
  <si>
    <t>defined as 75 kgf-metres per second.</t>
  </si>
  <si>
    <t>Horsepower (Metric)</t>
  </si>
  <si>
    <t>Metre</t>
  </si>
  <si>
    <t>Lunar Month</t>
  </si>
  <si>
    <t>Kilocalorie</t>
  </si>
  <si>
    <t>1 unit force = 1 unit mass x 1 unit acceleration</t>
  </si>
  <si>
    <t>gram</t>
  </si>
  <si>
    <t>kg/g</t>
  </si>
  <si>
    <r>
      <t>9.80665 m/s</t>
    </r>
    <r>
      <rPr>
        <vertAlign val="superscript"/>
        <sz val="10"/>
        <rFont val="Arial"/>
        <family val="2"/>
      </rPr>
      <t>2</t>
    </r>
  </si>
  <si>
    <r>
      <t>980.665 cm/s</t>
    </r>
    <r>
      <rPr>
        <vertAlign val="superscript"/>
        <sz val="10"/>
        <rFont val="Arial"/>
        <family val="2"/>
      </rPr>
      <t>2</t>
    </r>
  </si>
  <si>
    <r>
      <t>32.17 ft/s</t>
    </r>
    <r>
      <rPr>
        <vertAlign val="superscript"/>
        <sz val="10"/>
        <rFont val="Arial"/>
        <family val="2"/>
      </rPr>
      <t>2</t>
    </r>
  </si>
  <si>
    <r>
      <t>386.1 in/s</t>
    </r>
    <r>
      <rPr>
        <vertAlign val="superscript"/>
        <sz val="10"/>
        <rFont val="Arial"/>
        <family val="2"/>
      </rPr>
      <t>2</t>
    </r>
  </si>
  <si>
    <r>
      <t>dyne/cm</t>
    </r>
    <r>
      <rPr>
        <vertAlign val="superscript"/>
        <sz val="10"/>
        <rFont val="Arial"/>
        <family val="2"/>
      </rPr>
      <t>2</t>
    </r>
  </si>
  <si>
    <r>
      <t>kilogram/m</t>
    </r>
    <r>
      <rPr>
        <vertAlign val="superscript"/>
        <sz val="10"/>
        <rFont val="Arial"/>
        <family val="2"/>
      </rPr>
      <t>3</t>
    </r>
  </si>
  <si>
    <r>
      <t>kilogram/g-m</t>
    </r>
    <r>
      <rPr>
        <vertAlign val="superscript"/>
        <sz val="10"/>
        <rFont val="Arial"/>
        <family val="2"/>
      </rPr>
      <t>3</t>
    </r>
  </si>
  <si>
    <r>
      <t>kilogram/g-cm</t>
    </r>
    <r>
      <rPr>
        <vertAlign val="superscript"/>
        <sz val="10"/>
        <rFont val="Arial"/>
        <family val="2"/>
      </rPr>
      <t>3</t>
    </r>
  </si>
  <si>
    <r>
      <t>gram/cm</t>
    </r>
    <r>
      <rPr>
        <vertAlign val="superscript"/>
        <sz val="10"/>
        <rFont val="Arial"/>
        <family val="2"/>
      </rPr>
      <t>3</t>
    </r>
  </si>
  <si>
    <r>
      <t>gram/g-cm</t>
    </r>
    <r>
      <rPr>
        <vertAlign val="superscript"/>
        <sz val="10"/>
        <rFont val="Arial"/>
        <family val="2"/>
      </rPr>
      <t>3</t>
    </r>
  </si>
  <si>
    <r>
      <t>slug/ft</t>
    </r>
    <r>
      <rPr>
        <vertAlign val="superscript"/>
        <sz val="10"/>
        <rFont val="Arial"/>
        <family val="2"/>
      </rPr>
      <t>3</t>
    </r>
  </si>
  <si>
    <r>
      <t>pound/g-in</t>
    </r>
    <r>
      <rPr>
        <vertAlign val="superscript"/>
        <sz val="10"/>
        <rFont val="Arial"/>
        <family val="2"/>
      </rPr>
      <t>3</t>
    </r>
  </si>
  <si>
    <r>
      <t>kgf/m</t>
    </r>
    <r>
      <rPr>
        <vertAlign val="superscript"/>
        <sz val="10"/>
        <rFont val="Arial"/>
        <family val="2"/>
      </rPr>
      <t>2</t>
    </r>
  </si>
  <si>
    <r>
      <t>kgf/cm</t>
    </r>
    <r>
      <rPr>
        <vertAlign val="superscript"/>
        <sz val="10"/>
        <rFont val="Arial"/>
        <family val="2"/>
      </rPr>
      <t>2</t>
    </r>
  </si>
  <si>
    <r>
      <t>lbf/ft</t>
    </r>
    <r>
      <rPr>
        <vertAlign val="superscript"/>
        <sz val="10"/>
        <rFont val="Arial"/>
        <family val="2"/>
      </rPr>
      <t>2</t>
    </r>
  </si>
  <si>
    <r>
      <t>lbf/in</t>
    </r>
    <r>
      <rPr>
        <vertAlign val="superscript"/>
        <sz val="10"/>
        <rFont val="Arial"/>
        <family val="2"/>
      </rPr>
      <t>2</t>
    </r>
  </si>
  <si>
    <r>
      <t>gramf/cm</t>
    </r>
    <r>
      <rPr>
        <vertAlign val="superscript"/>
        <sz val="10"/>
        <rFont val="Arial"/>
        <family val="2"/>
      </rPr>
      <t>2</t>
    </r>
  </si>
  <si>
    <t>0.1 m</t>
  </si>
  <si>
    <t>mm equal to 0.001 m</t>
  </si>
  <si>
    <t>cm, equal to 0.01 m</t>
  </si>
  <si>
    <r>
      <t>Å, a unit of length equal to one hundred-millionth of a centimetre, 10</t>
    </r>
    <r>
      <rPr>
        <vertAlign val="superscript"/>
        <sz val="10"/>
        <rFont val="Arial"/>
        <family val="2"/>
      </rPr>
      <t>-10</t>
    </r>
    <r>
      <rPr>
        <sz val="10"/>
        <rFont val="Arial"/>
        <family val="2"/>
      </rPr>
      <t xml:space="preserve"> metre.</t>
    </r>
  </si>
  <si>
    <t>one millionth of a metre.</t>
  </si>
  <si>
    <t>PLANE ANGLE  [ No Dimension ]</t>
  </si>
  <si>
    <t>SOLID ANGLE  [ No Dimension ]</t>
  </si>
  <si>
    <t>Sphere</t>
  </si>
  <si>
    <t>Hemisphere</t>
  </si>
  <si>
    <t>Spherical Right Angle</t>
  </si>
  <si>
    <t>Steradian</t>
  </si>
  <si>
    <r>
      <t xml:space="preserve">A total solid angle about a point = 2 Hemispheres = 8 Spherical right angles = 4 </t>
    </r>
    <r>
      <rPr>
        <sz val="10"/>
        <rFont val="Symbol"/>
        <family val="1"/>
      </rPr>
      <t>p</t>
    </r>
    <r>
      <rPr>
        <sz val="10"/>
        <rFont val="Arial"/>
        <family val="2"/>
      </rPr>
      <t xml:space="preserve"> Steradians</t>
    </r>
  </si>
  <si>
    <t>Steradians</t>
  </si>
  <si>
    <t>The SI unit of solid angle, equal to the angle made at the centre of a sphere by an area on the surface of the sphere equal to the square of the sphere’s radius. Symbol sr</t>
  </si>
  <si>
    <t>Thou (Mil)</t>
  </si>
  <si>
    <t>Sq Millimetre</t>
  </si>
  <si>
    <t>Sq Centimetre</t>
  </si>
  <si>
    <t>Sq Decimetre</t>
  </si>
  <si>
    <t>Sq Metre</t>
  </si>
  <si>
    <t>Sq Kilometre</t>
  </si>
  <si>
    <t>Sq Inch</t>
  </si>
  <si>
    <t>Sq Foot</t>
  </si>
  <si>
    <t>Sq Yard</t>
  </si>
  <si>
    <t>Sq Furlong</t>
  </si>
  <si>
    <t>Int. Sq Nautical Mile</t>
  </si>
  <si>
    <t>UK Sq Nautical Mile</t>
  </si>
  <si>
    <t>Millimetre ^ 3</t>
  </si>
  <si>
    <t>Centimetre ^ 3</t>
  </si>
  <si>
    <t>Decimetre ^ 3</t>
  </si>
  <si>
    <t>Metre ^ 3</t>
  </si>
  <si>
    <t>Hectometre ^ 3</t>
  </si>
  <si>
    <t>Kilometre ^ 3</t>
  </si>
  <si>
    <t>Inch ^ 3</t>
  </si>
  <si>
    <t>Foot ^ 3</t>
  </si>
  <si>
    <t>Yard ^ 3</t>
  </si>
  <si>
    <t>Furlong ^ 3</t>
  </si>
  <si>
    <t>Mile ^ 3</t>
  </si>
  <si>
    <t>Millimetre ^ 4</t>
  </si>
  <si>
    <t>Centimetre ^ 4</t>
  </si>
  <si>
    <t>Decimetre ^ 4</t>
  </si>
  <si>
    <t>Metre ^ 4</t>
  </si>
  <si>
    <t>Hectometre ^ 4</t>
  </si>
  <si>
    <t>Kilometre ^ 4</t>
  </si>
  <si>
    <t>Inch ^ 4</t>
  </si>
  <si>
    <t>Foot ^ 4</t>
  </si>
  <si>
    <t>Yard ^ 4</t>
  </si>
  <si>
    <t>Furlong ^ 4</t>
  </si>
  <si>
    <t>Mile ^ 4</t>
  </si>
  <si>
    <t>Ergs (centimetre dynes)</t>
  </si>
  <si>
    <t>Chu (Centigrade Heat Unit)</t>
  </si>
  <si>
    <t>Hundredweights (short)</t>
  </si>
  <si>
    <t>Kilonewtons</t>
  </si>
  <si>
    <t>Newtons / centimetre</t>
  </si>
  <si>
    <t>Newtons centimetre</t>
  </si>
  <si>
    <t>Millimetres of Water</t>
  </si>
  <si>
    <t>Centimetres of Water</t>
  </si>
  <si>
    <t>Millimetres of Mercury [Torrs]</t>
  </si>
  <si>
    <t>Centimetres of Mercury</t>
  </si>
  <si>
    <t>Kilometres / hour / minute</t>
  </si>
  <si>
    <t>Kilometres / hour / second</t>
  </si>
  <si>
    <t>Litres / day</t>
  </si>
  <si>
    <t>Litres / hour</t>
  </si>
  <si>
    <t>Litres / minute</t>
  </si>
  <si>
    <t>Litres / second</t>
  </si>
  <si>
    <t>Centigrade heat unit defined as the amount of heat required to raise the temperature of 1 lb of water through 1 degC at standard temperature and pressure.</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</si>
</sst>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E+00"/>
    <numFmt numFmtId="173" formatCode="00000"/>
    <numFmt numFmtId="174" formatCode="0.00000000000000000000"/>
    <numFmt numFmtId="175" formatCode="0.0000000000000000"/>
    <numFmt numFmtId="176" formatCode="0.00000000000000"/>
    <numFmt numFmtId="177" formatCode="0.00000000000"/>
    <numFmt numFmtId="178" formatCode="0.0"/>
    <numFmt numFmtId="179" formatCode="0.000000"/>
    <numFmt numFmtId="180" formatCode="0.000"/>
    <numFmt numFmtId="181" formatCode=";;"/>
    <numFmt numFmtId="182" formatCode="General&quot; deg C&quot;;;&quot;-&quot;"/>
    <numFmt numFmtId="183" formatCode="0.000&quot; kN/mm2&quot;"/>
    <numFmt numFmtId="184" formatCode="General;\-General;"/>
    <numFmt numFmtId="185" formatCode="0.000;\-0.000;"/>
    <numFmt numFmtId="186" formatCode="#,##0;\-#,##0;"/>
    <numFmt numFmtId="187" formatCode="#,##0.0;\-#,##0.0;"/>
    <numFmt numFmtId="188" formatCode="0.000000000000000"/>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quot;£&quot;* #,##0.00_);_(&quot;£&quot;* \(#,##0.00\);_(&quot;£&quot;* &quot;-&quot;??_);_(@_)"/>
    <numFmt numFmtId="195" formatCode="h:mm"/>
    <numFmt numFmtId="196" formatCode="h:mm:ss"/>
    <numFmt numFmtId="197" formatCode="d/m/yy\ h:mm"/>
    <numFmt numFmtId="198" formatCode="&quot;£&quot;\ #,##0;\-&quot;£&quot;\ #,##0"/>
    <numFmt numFmtId="199" formatCode="&quot;£&quot;\ #,##0;[Red]\-&quot;£&quot;\ #,##0"/>
    <numFmt numFmtId="200" formatCode="&quot;£&quot;\ #,##0.00;\-&quot;£&quot;\ #,##0.00"/>
    <numFmt numFmtId="201" formatCode="&quot;£&quot;\ #,##0.00;[Red]\-&quot;£&quot;\ #,##0.00"/>
    <numFmt numFmtId="202" formatCode="General;\-General;&quot;$&quot;"/>
    <numFmt numFmtId="203" formatCode="#\ ??/16"/>
    <numFmt numFmtId="204" formatCode="#\ ?/8"/>
    <numFmt numFmtId="205" formatCode="#\ ?/4"/>
    <numFmt numFmtId="206" formatCode="#\ ?/2"/>
    <numFmt numFmtId="207" formatCode="&quot;Yes&quot;;&quot;Yes&quot;;&quot;No&quot;"/>
    <numFmt numFmtId="208" formatCode="&quot;True&quot;;&quot;True&quot;;&quot;False&quot;"/>
    <numFmt numFmtId="209" formatCode="&quot;On&quot;;&quot;On&quot;;&quot;Off&quot;"/>
  </numFmts>
  <fonts count="32">
    <font>
      <sz val="10"/>
      <name val="Arial"/>
      <family val="0"/>
    </font>
    <font>
      <b/>
      <sz val="10"/>
      <name val="Arial"/>
      <family val="2"/>
    </font>
    <font>
      <sz val="9"/>
      <color indexed="12"/>
      <name val="Tahoma"/>
      <family val="2"/>
    </font>
    <font>
      <vertAlign val="superscript"/>
      <sz val="10"/>
      <name val="Arial"/>
      <family val="2"/>
    </font>
    <font>
      <sz val="10"/>
      <name val="Symbol"/>
      <family val="1"/>
    </font>
    <font>
      <vertAlign val="superscript"/>
      <sz val="9"/>
      <color indexed="12"/>
      <name val="Tahoma"/>
      <family val="2"/>
    </font>
    <font>
      <u val="single"/>
      <sz val="10"/>
      <color indexed="12"/>
      <name val="Arial"/>
      <family val="0"/>
    </font>
    <font>
      <u val="single"/>
      <sz val="10"/>
      <color indexed="36"/>
      <name val="Arial"/>
      <family val="0"/>
    </font>
    <font>
      <sz val="12"/>
      <name val="Arial"/>
      <family val="0"/>
    </font>
    <font>
      <b/>
      <sz val="12"/>
      <name val="Arial"/>
      <family val="2"/>
    </font>
    <font>
      <i/>
      <sz val="12"/>
      <color indexed="12"/>
      <name val="Arial"/>
      <family val="2"/>
    </font>
    <font>
      <b/>
      <sz val="10"/>
      <color indexed="12"/>
      <name val="Arial"/>
      <family val="2"/>
    </font>
    <font>
      <sz val="8"/>
      <color indexed="12"/>
      <name val="Symbol"/>
      <family val="1"/>
    </font>
    <font>
      <i/>
      <sz val="8"/>
      <color indexed="12"/>
      <name val="Arial"/>
      <family val="2"/>
    </font>
    <font>
      <i/>
      <sz val="8"/>
      <color indexed="12"/>
      <name val="Symbol"/>
      <family val="1"/>
    </font>
    <font>
      <sz val="10"/>
      <name val="Times New Roman"/>
      <family val="1"/>
    </font>
    <font>
      <b/>
      <sz val="12"/>
      <color indexed="12"/>
      <name val="Arial"/>
      <family val="2"/>
    </font>
    <font>
      <i/>
      <sz val="8"/>
      <color indexed="12"/>
      <name val="Times New Roman"/>
      <family val="1"/>
    </font>
    <font>
      <b/>
      <vertAlign val="superscript"/>
      <sz val="10"/>
      <name val="Arial"/>
      <family val="2"/>
    </font>
    <font>
      <sz val="10"/>
      <color indexed="10"/>
      <name val="Arial"/>
      <family val="2"/>
    </font>
    <font>
      <b/>
      <i/>
      <sz val="14"/>
      <color indexed="12"/>
      <name val="Arial"/>
      <family val="2"/>
    </font>
    <font>
      <sz val="10"/>
      <color indexed="12"/>
      <name val="Arial"/>
      <family val="2"/>
    </font>
    <font>
      <i/>
      <sz val="10"/>
      <color indexed="12"/>
      <name val="Arial"/>
      <family val="2"/>
    </font>
    <font>
      <b/>
      <i/>
      <sz val="12"/>
      <color indexed="12"/>
      <name val="Arial"/>
      <family val="2"/>
    </font>
    <font>
      <b/>
      <sz val="14"/>
      <color indexed="12"/>
      <name val="Arial"/>
      <family val="2"/>
    </font>
    <font>
      <sz val="12"/>
      <color indexed="12"/>
      <name val="Symbol"/>
      <family val="1"/>
    </font>
    <font>
      <i/>
      <sz val="10"/>
      <color indexed="57"/>
      <name val="Arial"/>
      <family val="2"/>
    </font>
    <font>
      <sz val="10"/>
      <color indexed="57"/>
      <name val="Arial"/>
      <family val="2"/>
    </font>
    <font>
      <sz val="9"/>
      <color indexed="12"/>
      <name val="Arial"/>
      <family val="2"/>
    </font>
    <font>
      <sz val="8"/>
      <name val="Tahoma"/>
      <family val="2"/>
    </font>
    <font>
      <sz val="9"/>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2">
    <border>
      <left/>
      <right/>
      <top/>
      <bottom/>
      <diagonal/>
    </border>
    <border>
      <left style="medium"/>
      <right style="medium"/>
      <top style="medium"/>
      <bottom style="medium"/>
    </border>
    <border>
      <left style="thin"/>
      <right style="thin"/>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hair"/>
    </border>
    <border>
      <left>
        <color indexed="63"/>
      </left>
      <right style="medium"/>
      <top style="hair"/>
      <bottom style="medium"/>
    </border>
    <border>
      <left>
        <color indexed="63"/>
      </left>
      <right>
        <color indexed="63"/>
      </right>
      <top>
        <color indexed="63"/>
      </top>
      <bottom style="hair"/>
    </border>
    <border>
      <left>
        <color indexed="63"/>
      </left>
      <right style="medium"/>
      <top>
        <color indexed="63"/>
      </top>
      <bottom style="hair"/>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hair"/>
      <top style="medium"/>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2" borderId="0">
      <alignment/>
      <protection/>
    </xf>
    <xf numFmtId="0" fontId="8" fillId="0" borderId="0">
      <alignment/>
      <protection/>
    </xf>
    <xf numFmtId="0" fontId="8" fillId="0" borderId="0">
      <alignment/>
      <protection/>
    </xf>
    <xf numFmtId="9" fontId="0" fillId="0" borderId="0" applyFont="0" applyFill="0" applyBorder="0" applyAlignment="0" applyProtection="0"/>
  </cellStyleXfs>
  <cellXfs count="188">
    <xf numFmtId="0" fontId="0" fillId="0" borderId="0" xfId="0" applyAlignment="1">
      <alignment/>
    </xf>
    <xf numFmtId="175" fontId="0" fillId="0" borderId="0" xfId="0" applyNumberFormat="1" applyAlignment="1">
      <alignment/>
    </xf>
    <xf numFmtId="0" fontId="0" fillId="3" borderId="0" xfId="24" applyFont="1" applyFill="1" applyBorder="1" applyProtection="1">
      <alignment/>
      <protection hidden="1"/>
    </xf>
    <xf numFmtId="0" fontId="0" fillId="0" borderId="0" xfId="21">
      <alignment/>
      <protection/>
    </xf>
    <xf numFmtId="0" fontId="9" fillId="0" borderId="0" xfId="24" applyFont="1" applyBorder="1" applyAlignment="1" applyProtection="1">
      <alignment horizontal="centerContinuous"/>
      <protection hidden="1"/>
    </xf>
    <xf numFmtId="0" fontId="0" fillId="0" borderId="0" xfId="24" applyFont="1" applyBorder="1" applyProtection="1">
      <alignment/>
      <protection hidden="1"/>
    </xf>
    <xf numFmtId="0" fontId="0" fillId="0" borderId="0" xfId="24" applyFont="1" applyAlignment="1" applyProtection="1">
      <alignment horizontal="left" wrapText="1"/>
      <protection hidden="1"/>
    </xf>
    <xf numFmtId="0" fontId="0" fillId="3" borderId="0" xfId="24" applyFont="1" applyFill="1" applyBorder="1" applyAlignment="1" applyProtection="1">
      <alignment vertical="center"/>
      <protection hidden="1"/>
    </xf>
    <xf numFmtId="0" fontId="11" fillId="0" borderId="0" xfId="24" applyFont="1" applyBorder="1" applyAlignment="1" applyProtection="1">
      <alignment vertical="center"/>
      <protection hidden="1"/>
    </xf>
    <xf numFmtId="0" fontId="0" fillId="0" borderId="0" xfId="24" applyFont="1" applyBorder="1" applyAlignment="1" applyProtection="1">
      <alignment vertical="center" wrapText="1"/>
      <protection hidden="1"/>
    </xf>
    <xf numFmtId="0" fontId="12" fillId="0" borderId="0" xfId="24" applyFont="1" applyBorder="1" applyAlignment="1" applyProtection="1">
      <alignment horizontal="right" vertical="top"/>
      <protection hidden="1"/>
    </xf>
    <xf numFmtId="0" fontId="13" fillId="3" borderId="0" xfId="22" applyFont="1" applyFill="1" applyAlignment="1" applyProtection="1">
      <alignment horizontal="left" vertical="center"/>
      <protection hidden="1"/>
    </xf>
    <xf numFmtId="0" fontId="0" fillId="3" borderId="0" xfId="24" applyFont="1" applyFill="1" applyProtection="1">
      <alignment/>
      <protection hidden="1"/>
    </xf>
    <xf numFmtId="181" fontId="14" fillId="3" borderId="0" xfId="24" applyNumberFormat="1" applyFont="1" applyFill="1" applyBorder="1" applyAlignment="1" applyProtection="1">
      <alignment horizontal="right"/>
      <protection hidden="1"/>
    </xf>
    <xf numFmtId="0" fontId="8" fillId="0" borderId="0" xfId="24">
      <alignment/>
      <protection/>
    </xf>
    <xf numFmtId="0" fontId="0" fillId="0" borderId="0" xfId="24" applyFont="1" applyBorder="1" applyAlignment="1" applyProtection="1">
      <alignment vertical="center"/>
      <protection hidden="1"/>
    </xf>
    <xf numFmtId="0" fontId="0" fillId="0" borderId="0" xfId="24" applyFont="1" applyBorder="1" applyAlignment="1" applyProtection="1">
      <alignment vertical="top" wrapText="1"/>
      <protection hidden="1"/>
    </xf>
    <xf numFmtId="0" fontId="0" fillId="0" borderId="0" xfId="24" applyFont="1" applyAlignment="1">
      <alignment vertical="top"/>
      <protection/>
    </xf>
    <xf numFmtId="0" fontId="15" fillId="3" borderId="0" xfId="24" applyFont="1" applyFill="1" applyBorder="1" applyProtection="1">
      <alignment/>
      <protection hidden="1"/>
    </xf>
    <xf numFmtId="0" fontId="16" fillId="0" borderId="0" xfId="24" applyFont="1" applyBorder="1" applyAlignment="1" applyProtection="1">
      <alignment horizontal="centerContinuous" wrapText="1"/>
      <protection hidden="1"/>
    </xf>
    <xf numFmtId="0" fontId="15" fillId="3" borderId="0" xfId="24" applyFont="1" applyFill="1" applyBorder="1" applyAlignment="1" applyProtection="1">
      <alignment vertical="center"/>
      <protection hidden="1"/>
    </xf>
    <xf numFmtId="0" fontId="0" fillId="0" borderId="0" xfId="24" applyFont="1" applyBorder="1" applyAlignment="1" applyProtection="1">
      <alignment/>
      <protection hidden="1"/>
    </xf>
    <xf numFmtId="0" fontId="1" fillId="0" borderId="0" xfId="24" applyFont="1" applyBorder="1" applyAlignment="1" applyProtection="1">
      <alignment vertical="center"/>
      <protection hidden="1"/>
    </xf>
    <xf numFmtId="0" fontId="0" fillId="3" borderId="0" xfId="24" applyFont="1" applyFill="1" applyBorder="1" applyAlignment="1" applyProtection="1">
      <alignment/>
      <protection hidden="1"/>
    </xf>
    <xf numFmtId="0" fontId="0" fillId="3" borderId="0" xfId="24" applyFont="1" applyFill="1" applyBorder="1" applyAlignment="1" applyProtection="1">
      <alignment vertical="top" wrapText="1"/>
      <protection hidden="1"/>
    </xf>
    <xf numFmtId="0" fontId="15" fillId="3" borderId="0" xfId="22" applyFont="1" applyFill="1" applyBorder="1" applyAlignment="1" applyProtection="1">
      <alignment/>
      <protection hidden="1"/>
    </xf>
    <xf numFmtId="0" fontId="15" fillId="3" borderId="0" xfId="22" applyFont="1" applyFill="1" applyBorder="1" applyAlignment="1" applyProtection="1">
      <alignment wrapText="1"/>
      <protection hidden="1"/>
    </xf>
    <xf numFmtId="0" fontId="9" fillId="2" borderId="0" xfId="22" applyFont="1" applyBorder="1" applyAlignment="1" applyProtection="1">
      <alignment horizontal="centerContinuous"/>
      <protection hidden="1"/>
    </xf>
    <xf numFmtId="0" fontId="16" fillId="2" borderId="0" xfId="22" applyFont="1" applyBorder="1" applyAlignment="1" applyProtection="1">
      <alignment horizontal="centerContinuous" wrapText="1"/>
      <protection hidden="1"/>
    </xf>
    <xf numFmtId="0" fontId="15" fillId="3" borderId="0" xfId="22" applyFont="1" applyFill="1" applyBorder="1" applyAlignment="1" applyProtection="1">
      <alignment vertical="center"/>
      <protection hidden="1"/>
    </xf>
    <xf numFmtId="0" fontId="11" fillId="2" borderId="0" xfId="22" applyFont="1" applyBorder="1" applyAlignment="1" applyProtection="1">
      <alignment vertical="center"/>
      <protection hidden="1"/>
    </xf>
    <xf numFmtId="0" fontId="0" fillId="2" borderId="0" xfId="22" applyFont="1" applyBorder="1" applyAlignment="1" applyProtection="1">
      <alignment vertical="top" wrapText="1"/>
      <protection hidden="1"/>
    </xf>
    <xf numFmtId="0" fontId="0" fillId="2" borderId="0" xfId="22" applyFont="1" applyBorder="1" applyAlignment="1" applyProtection="1">
      <alignment vertical="center" wrapText="1"/>
      <protection hidden="1"/>
    </xf>
    <xf numFmtId="0" fontId="13" fillId="3" borderId="0" xfId="22" applyFont="1" applyFill="1" applyAlignment="1" applyProtection="1">
      <alignment horizontal="right"/>
      <protection hidden="1"/>
    </xf>
    <xf numFmtId="0" fontId="0" fillId="3" borderId="0" xfId="0" applyFill="1" applyAlignment="1">
      <alignment/>
    </xf>
    <xf numFmtId="0" fontId="0" fillId="3" borderId="0" xfId="0" applyFill="1" applyBorder="1" applyAlignment="1">
      <alignment/>
    </xf>
    <xf numFmtId="0" fontId="1" fillId="3" borderId="0" xfId="0" applyFont="1" applyFill="1" applyAlignment="1">
      <alignment horizontal="centerContinuous"/>
    </xf>
    <xf numFmtId="188" fontId="0" fillId="0" borderId="0" xfId="0" applyNumberFormat="1" applyAlignment="1">
      <alignment/>
    </xf>
    <xf numFmtId="0" fontId="1" fillId="3" borderId="0" xfId="23" applyFont="1" applyFill="1" applyAlignment="1">
      <alignment vertical="center"/>
      <protection/>
    </xf>
    <xf numFmtId="0" fontId="9" fillId="3" borderId="0" xfId="23" applyFont="1" applyFill="1" applyAlignment="1">
      <alignment horizontal="centerContinuous" vertical="center"/>
      <protection/>
    </xf>
    <xf numFmtId="0" fontId="8" fillId="3" borderId="0" xfId="23" applyFont="1" applyFill="1" applyAlignment="1">
      <alignment horizontal="centerContinuous" vertical="center"/>
      <protection/>
    </xf>
    <xf numFmtId="0" fontId="13" fillId="3" borderId="0" xfId="23" applyFont="1" applyFill="1" applyBorder="1" applyAlignment="1">
      <alignment horizontal="right" vertical="top"/>
      <protection/>
    </xf>
    <xf numFmtId="0" fontId="13" fillId="3" borderId="0" xfId="23" applyFont="1" applyFill="1" applyBorder="1" applyAlignment="1">
      <alignment horizontal="left" vertical="top"/>
      <protection/>
    </xf>
    <xf numFmtId="0" fontId="8" fillId="3" borderId="0" xfId="23" applyFill="1">
      <alignment/>
      <protection/>
    </xf>
    <xf numFmtId="0" fontId="8" fillId="3" borderId="0" xfId="23" applyFill="1" applyBorder="1">
      <alignment/>
      <protection/>
    </xf>
    <xf numFmtId="0" fontId="6" fillId="3" borderId="0" xfId="20" applyFill="1" applyAlignment="1">
      <alignment/>
    </xf>
    <xf numFmtId="0" fontId="0" fillId="0" borderId="0" xfId="0" applyAlignment="1">
      <alignment horizontal="center"/>
    </xf>
    <xf numFmtId="0" fontId="16" fillId="0" borderId="0" xfId="24" applyFont="1" applyBorder="1" applyAlignment="1" applyProtection="1">
      <alignment horizontal="centerContinuous" vertical="center" wrapText="1"/>
      <protection hidden="1"/>
    </xf>
    <xf numFmtId="0" fontId="0" fillId="0" borderId="0" xfId="21" applyAlignment="1">
      <alignment horizontal="centerContinuous" vertical="center"/>
      <protection/>
    </xf>
    <xf numFmtId="0" fontId="0" fillId="4" borderId="1" xfId="0" applyFill="1" applyBorder="1" applyAlignment="1" applyProtection="1">
      <alignment horizontal="center"/>
      <protection hidden="1"/>
    </xf>
    <xf numFmtId="0" fontId="0" fillId="0" borderId="2" xfId="24" applyFont="1" applyBorder="1" applyAlignment="1" applyProtection="1">
      <alignment horizontal="center" vertical="top" wrapText="1"/>
      <protection hidden="1"/>
    </xf>
    <xf numFmtId="0" fontId="0" fillId="0" borderId="2" xfId="21" applyFont="1" applyBorder="1" applyAlignment="1">
      <alignment horizontal="center"/>
      <protection/>
    </xf>
    <xf numFmtId="0" fontId="0" fillId="0" borderId="2" xfId="24" applyFont="1" applyBorder="1" applyAlignment="1" applyProtection="1">
      <alignment horizontal="center" vertical="center" wrapText="1"/>
      <protection hidden="1"/>
    </xf>
    <xf numFmtId="0" fontId="0" fillId="0" borderId="3" xfId="24" applyFont="1" applyBorder="1" applyAlignment="1" applyProtection="1">
      <alignment horizontal="center" vertical="top" wrapText="1"/>
      <protection hidden="1"/>
    </xf>
    <xf numFmtId="0" fontId="0" fillId="0" borderId="3" xfId="24" applyFont="1" applyBorder="1" applyAlignment="1" applyProtection="1">
      <alignment horizontal="center" vertical="center" wrapText="1"/>
      <protection hidden="1"/>
    </xf>
    <xf numFmtId="0" fontId="0" fillId="0" borderId="0" xfId="24" applyFont="1" applyBorder="1" applyAlignment="1" applyProtection="1">
      <alignment horizontal="right"/>
      <protection hidden="1"/>
    </xf>
    <xf numFmtId="0" fontId="0" fillId="0" borderId="0" xfId="24" applyFont="1" applyBorder="1" applyAlignment="1" applyProtection="1">
      <alignment horizontal="center" vertical="top" wrapText="1"/>
      <protection hidden="1"/>
    </xf>
    <xf numFmtId="0" fontId="0" fillId="0" borderId="0" xfId="21" applyFont="1" applyBorder="1" applyAlignment="1">
      <alignment horizontal="center"/>
      <protection/>
    </xf>
    <xf numFmtId="0" fontId="0" fillId="0" borderId="4" xfId="0" applyBorder="1" applyAlignment="1" applyProtection="1">
      <alignment horizontal="right"/>
      <protection hidden="1"/>
    </xf>
    <xf numFmtId="0" fontId="0" fillId="4" borderId="4" xfId="0" applyFill="1" applyBorder="1" applyAlignment="1" applyProtection="1">
      <alignment horizontal="center"/>
      <protection hidden="1"/>
    </xf>
    <xf numFmtId="0" fontId="0" fillId="0" borderId="4" xfId="0" applyBorder="1" applyAlignment="1" applyProtection="1">
      <alignment/>
      <protection hidden="1"/>
    </xf>
    <xf numFmtId="0" fontId="0" fillId="0" borderId="5" xfId="0" applyBorder="1" applyAlignment="1" applyProtection="1">
      <alignment horizontal="right"/>
      <protection hidden="1"/>
    </xf>
    <xf numFmtId="0" fontId="0" fillId="4" borderId="5" xfId="0" applyFill="1" applyBorder="1" applyAlignment="1" applyProtection="1">
      <alignment horizontal="center"/>
      <protection hidden="1"/>
    </xf>
    <xf numFmtId="0" fontId="0" fillId="0" borderId="5" xfId="0" applyBorder="1" applyAlignment="1" applyProtection="1">
      <alignment/>
      <protection hidden="1"/>
    </xf>
    <xf numFmtId="0" fontId="0" fillId="0" borderId="6" xfId="0" applyBorder="1" applyAlignment="1" applyProtection="1">
      <alignment horizontal="right"/>
      <protection hidden="1"/>
    </xf>
    <xf numFmtId="0" fontId="0" fillId="4" borderId="6" xfId="0" applyFill="1" applyBorder="1" applyAlignment="1" applyProtection="1">
      <alignment horizontal="center"/>
      <protection hidden="1"/>
    </xf>
    <xf numFmtId="0" fontId="0" fillId="0" borderId="6" xfId="0" applyBorder="1" applyAlignment="1" applyProtection="1">
      <alignment/>
      <protection hidden="1"/>
    </xf>
    <xf numFmtId="0" fontId="0" fillId="0" borderId="0" xfId="0" applyAlignment="1" applyProtection="1">
      <alignment/>
      <protection locked="0"/>
    </xf>
    <xf numFmtId="0" fontId="0" fillId="0" borderId="1" xfId="0" applyBorder="1" applyAlignment="1" applyProtection="1">
      <alignment/>
      <protection hidden="1"/>
    </xf>
    <xf numFmtId="0" fontId="0" fillId="0" borderId="1" xfId="0" applyBorder="1" applyAlignment="1" applyProtection="1">
      <alignment horizontal="right"/>
      <protection hidden="1"/>
    </xf>
    <xf numFmtId="0" fontId="0" fillId="3" borderId="0" xfId="0" applyFill="1" applyAlignment="1" applyProtection="1">
      <alignment/>
      <protection hidden="1"/>
    </xf>
    <xf numFmtId="0" fontId="0" fillId="3" borderId="0" xfId="0" applyFill="1" applyBorder="1" applyAlignment="1" applyProtection="1">
      <alignment/>
      <protection hidden="1"/>
    </xf>
    <xf numFmtId="0" fontId="0" fillId="4" borderId="5" xfId="0" applyNumberFormat="1" applyFill="1" applyBorder="1" applyAlignment="1" applyProtection="1">
      <alignment horizontal="center"/>
      <protection hidden="1"/>
    </xf>
    <xf numFmtId="0" fontId="0" fillId="4" borderId="1" xfId="0" applyNumberFormat="1" applyFill="1" applyBorder="1" applyAlignment="1" applyProtection="1">
      <alignment horizontal="center"/>
      <protection hidden="1"/>
    </xf>
    <xf numFmtId="0" fontId="0" fillId="4" borderId="4" xfId="0" applyNumberFormat="1" applyFill="1" applyBorder="1" applyAlignment="1" applyProtection="1">
      <alignment horizontal="center"/>
      <protection hidden="1"/>
    </xf>
    <xf numFmtId="0" fontId="0" fillId="4" borderId="6" xfId="0" applyNumberFormat="1" applyFill="1" applyBorder="1" applyAlignment="1" applyProtection="1">
      <alignment horizontal="center"/>
      <protection hidden="1"/>
    </xf>
    <xf numFmtId="0" fontId="0" fillId="0" borderId="1" xfId="0" applyFill="1" applyBorder="1" applyAlignment="1" applyProtection="1">
      <alignment/>
      <protection hidden="1"/>
    </xf>
    <xf numFmtId="0" fontId="0" fillId="0" borderId="4" xfId="0" applyFill="1" applyBorder="1" applyAlignment="1" applyProtection="1">
      <alignment/>
      <protection hidden="1"/>
    </xf>
    <xf numFmtId="0" fontId="0" fillId="0" borderId="5" xfId="0" applyFill="1" applyBorder="1" applyAlignment="1" applyProtection="1">
      <alignment/>
      <protection hidden="1"/>
    </xf>
    <xf numFmtId="0" fontId="0" fillId="0" borderId="6" xfId="0" applyFill="1" applyBorder="1" applyAlignment="1" applyProtection="1">
      <alignment/>
      <protection hidden="1"/>
    </xf>
    <xf numFmtId="0" fontId="0" fillId="0" borderId="7" xfId="0" applyBorder="1" applyAlignment="1" applyProtection="1">
      <alignment horizontal="right"/>
      <protection hidden="1"/>
    </xf>
    <xf numFmtId="0" fontId="0" fillId="0" borderId="8" xfId="0" applyBorder="1" applyAlignment="1" applyProtection="1">
      <alignment horizontal="right"/>
      <protection hidden="1"/>
    </xf>
    <xf numFmtId="0" fontId="1" fillId="3" borderId="0" xfId="0" applyFont="1" applyFill="1" applyBorder="1" applyAlignment="1" applyProtection="1">
      <alignment/>
      <protection hidden="1"/>
    </xf>
    <xf numFmtId="0" fontId="0" fillId="0" borderId="0" xfId="0" applyBorder="1" applyAlignment="1" applyProtection="1">
      <alignment horizontal="right"/>
      <protection hidden="1"/>
    </xf>
    <xf numFmtId="0" fontId="0" fillId="0" borderId="0" xfId="0" applyBorder="1" applyAlignment="1" applyProtection="1">
      <alignment/>
      <protection hidden="1"/>
    </xf>
    <xf numFmtId="0" fontId="11" fillId="0" borderId="0" xfId="24" applyFont="1" applyBorder="1" applyAlignment="1" applyProtection="1">
      <alignment vertical="center" wrapText="1"/>
      <protection hidden="1"/>
    </xf>
    <xf numFmtId="0" fontId="21" fillId="0" borderId="0" xfId="24" applyFont="1" applyAlignment="1" applyProtection="1">
      <alignment horizontal="left" vertical="top" wrapText="1"/>
      <protection hidden="1"/>
    </xf>
    <xf numFmtId="0" fontId="0" fillId="0" borderId="0" xfId="24" applyFont="1" applyAlignment="1" applyProtection="1">
      <alignment horizontal="left" vertical="top" wrapText="1"/>
      <protection hidden="1"/>
    </xf>
    <xf numFmtId="0" fontId="21" fillId="0" borderId="0" xfId="24" applyFont="1" applyBorder="1" applyAlignment="1" applyProtection="1">
      <alignment vertical="top" wrapText="1"/>
      <protection hidden="1"/>
    </xf>
    <xf numFmtId="0" fontId="11" fillId="0" borderId="0" xfId="24" applyFont="1" applyAlignment="1" applyProtection="1">
      <alignment horizontal="left" vertical="top" wrapText="1"/>
      <protection hidden="1"/>
    </xf>
    <xf numFmtId="0" fontId="20" fillId="0" borderId="0" xfId="24" applyFont="1" applyBorder="1" applyAlignment="1" applyProtection="1">
      <alignment horizontal="centerContinuous" vertical="center" wrapText="1"/>
      <protection hidden="1"/>
    </xf>
    <xf numFmtId="0" fontId="21" fillId="3" borderId="0" xfId="24" applyFont="1" applyFill="1" applyAlignment="1" applyProtection="1">
      <alignment horizontal="left" vertical="top" wrapText="1"/>
      <protection hidden="1"/>
    </xf>
    <xf numFmtId="0" fontId="12" fillId="3" borderId="0" xfId="24" applyFont="1" applyFill="1" applyBorder="1" applyAlignment="1" applyProtection="1">
      <alignment horizontal="right" vertical="top"/>
      <protection hidden="1"/>
    </xf>
    <xf numFmtId="0" fontId="22" fillId="3" borderId="0" xfId="24" applyFont="1" applyFill="1" applyBorder="1" applyAlignment="1" applyProtection="1">
      <alignment horizontal="right"/>
      <protection hidden="1"/>
    </xf>
    <xf numFmtId="0" fontId="0" fillId="3" borderId="0" xfId="24" applyFont="1" applyFill="1" applyBorder="1" applyAlignment="1" applyProtection="1">
      <alignment wrapText="1"/>
      <protection hidden="1"/>
    </xf>
    <xf numFmtId="0" fontId="0" fillId="0" borderId="0" xfId="0" applyFill="1" applyBorder="1" applyAlignment="1">
      <alignment wrapText="1"/>
    </xf>
    <xf numFmtId="0" fontId="19" fillId="0" borderId="0" xfId="0" applyFont="1" applyFill="1" applyAlignment="1" applyProtection="1">
      <alignment horizontal="center"/>
      <protection hidden="1"/>
    </xf>
    <xf numFmtId="0" fontId="16" fillId="0" borderId="9" xfId="23" applyFont="1" applyFill="1" applyBorder="1" applyAlignment="1">
      <alignment horizontal="centerContinuous" vertical="center"/>
      <protection/>
    </xf>
    <xf numFmtId="0" fontId="16" fillId="0" borderId="10" xfId="23" applyFont="1" applyFill="1" applyBorder="1" applyAlignment="1">
      <alignment horizontal="centerContinuous" vertical="center"/>
      <protection/>
    </xf>
    <xf numFmtId="0" fontId="22" fillId="0" borderId="11" xfId="23" applyFont="1" applyFill="1" applyBorder="1" applyAlignment="1">
      <alignment horizontal="left" vertical="center"/>
      <protection/>
    </xf>
    <xf numFmtId="0" fontId="22" fillId="0" borderId="12" xfId="23" applyFont="1" applyFill="1" applyBorder="1" applyAlignment="1">
      <alignment horizontal="left" vertical="center"/>
      <protection/>
    </xf>
    <xf numFmtId="0" fontId="21" fillId="0" borderId="13" xfId="23" applyFont="1" applyFill="1" applyBorder="1" applyAlignment="1">
      <alignment horizontal="left" vertical="center"/>
      <protection/>
    </xf>
    <xf numFmtId="0" fontId="21" fillId="0" borderId="14" xfId="23" applyFont="1" applyFill="1" applyBorder="1" applyAlignment="1">
      <alignment horizontal="left" vertical="center"/>
      <protection/>
    </xf>
    <xf numFmtId="0" fontId="22" fillId="0" borderId="15" xfId="23" applyFont="1" applyFill="1" applyBorder="1" applyAlignment="1">
      <alignment horizontal="left" vertical="center"/>
      <protection/>
    </xf>
    <xf numFmtId="0" fontId="21" fillId="0" borderId="16" xfId="23" applyFont="1" applyFill="1" applyBorder="1" applyAlignment="1">
      <alignment horizontal="left" vertical="center"/>
      <protection/>
    </xf>
    <xf numFmtId="0" fontId="0" fillId="0" borderId="17" xfId="21" applyFont="1" applyBorder="1" applyAlignment="1">
      <alignment horizontal="center"/>
      <protection/>
    </xf>
    <xf numFmtId="0" fontId="0" fillId="0" borderId="18" xfId="24" applyFont="1" applyBorder="1" applyAlignment="1" applyProtection="1">
      <alignment horizontal="center" vertical="top" wrapText="1"/>
      <protection hidden="1"/>
    </xf>
    <xf numFmtId="0" fontId="0" fillId="0" borderId="19" xfId="24" applyFont="1" applyBorder="1" applyAlignment="1" applyProtection="1">
      <alignment horizontal="center" vertical="top" wrapText="1"/>
      <protection hidden="1"/>
    </xf>
    <xf numFmtId="0" fontId="0" fillId="0" borderId="19" xfId="21" applyFont="1" applyBorder="1" applyAlignment="1">
      <alignment horizontal="center"/>
      <protection/>
    </xf>
    <xf numFmtId="0" fontId="0" fillId="0" borderId="20" xfId="21" applyFont="1" applyBorder="1" applyAlignment="1">
      <alignment horizontal="center"/>
      <protection/>
    </xf>
    <xf numFmtId="0" fontId="0" fillId="0" borderId="21" xfId="24" applyFont="1" applyBorder="1" applyAlignment="1" applyProtection="1">
      <alignment horizontal="center" vertical="top" wrapText="1"/>
      <protection hidden="1"/>
    </xf>
    <xf numFmtId="0" fontId="0" fillId="0" borderId="22" xfId="24" applyFont="1" applyBorder="1" applyAlignment="1" applyProtection="1">
      <alignment horizontal="center" vertical="top" wrapText="1"/>
      <protection hidden="1"/>
    </xf>
    <xf numFmtId="0" fontId="0" fillId="0" borderId="22" xfId="21" applyFont="1" applyBorder="1" applyAlignment="1">
      <alignment horizontal="center"/>
      <protection/>
    </xf>
    <xf numFmtId="0" fontId="0" fillId="0" borderId="23" xfId="21" applyFont="1" applyBorder="1" applyAlignment="1">
      <alignment horizontal="center"/>
      <protection/>
    </xf>
    <xf numFmtId="0" fontId="1" fillId="0" borderId="24" xfId="24" applyFont="1" applyBorder="1" applyAlignment="1" applyProtection="1">
      <alignment horizontal="center" vertical="top" wrapText="1"/>
      <protection hidden="1"/>
    </xf>
    <xf numFmtId="0" fontId="1" fillId="0" borderId="25" xfId="24" applyFont="1" applyBorder="1" applyAlignment="1" applyProtection="1">
      <alignment horizontal="center" vertical="top" wrapText="1"/>
      <protection hidden="1"/>
    </xf>
    <xf numFmtId="0" fontId="1" fillId="0" borderId="25" xfId="21" applyFont="1" applyBorder="1" applyAlignment="1">
      <alignment horizontal="center"/>
      <protection/>
    </xf>
    <xf numFmtId="0" fontId="1" fillId="0" borderId="26" xfId="21" applyFont="1" applyBorder="1" applyAlignment="1">
      <alignment horizontal="center"/>
      <protection/>
    </xf>
    <xf numFmtId="0" fontId="1" fillId="0" borderId="27" xfId="24" applyFont="1" applyBorder="1" applyAlignment="1" applyProtection="1">
      <alignment horizontal="right" vertical="center"/>
      <protection hidden="1"/>
    </xf>
    <xf numFmtId="0" fontId="0" fillId="0" borderId="28" xfId="24" applyFont="1" applyBorder="1" applyAlignment="1" applyProtection="1">
      <alignment horizontal="center"/>
      <protection hidden="1"/>
    </xf>
    <xf numFmtId="0" fontId="0" fillId="0" borderId="29" xfId="24" applyFont="1" applyBorder="1" applyAlignment="1" applyProtection="1">
      <alignment horizontal="center"/>
      <protection hidden="1"/>
    </xf>
    <xf numFmtId="0" fontId="0" fillId="0" borderId="30" xfId="24" applyFont="1" applyBorder="1" applyAlignment="1" applyProtection="1">
      <alignment horizontal="center"/>
      <protection hidden="1"/>
    </xf>
    <xf numFmtId="0" fontId="24" fillId="0" borderId="31" xfId="23" applyFont="1" applyFill="1" applyBorder="1" applyAlignment="1">
      <alignment horizontal="centerContinuous" vertical="center"/>
      <protection/>
    </xf>
    <xf numFmtId="0" fontId="0" fillId="0" borderId="0" xfId="0" applyFont="1" applyAlignment="1">
      <alignment/>
    </xf>
    <xf numFmtId="0" fontId="0" fillId="0" borderId="4" xfId="0" applyBorder="1" applyAlignment="1" applyProtection="1">
      <alignment horizontal="right" shrinkToFit="1"/>
      <protection hidden="1"/>
    </xf>
    <xf numFmtId="0" fontId="0" fillId="0" borderId="7" xfId="0" applyBorder="1" applyAlignment="1" applyProtection="1">
      <alignment horizontal="right" shrinkToFit="1"/>
      <protection hidden="1"/>
    </xf>
    <xf numFmtId="0" fontId="0" fillId="0" borderId="8" xfId="0" applyBorder="1" applyAlignment="1" applyProtection="1">
      <alignment horizontal="right" shrinkToFit="1"/>
      <protection hidden="1"/>
    </xf>
    <xf numFmtId="0" fontId="0" fillId="0" borderId="31" xfId="0" applyBorder="1" applyAlignment="1" applyProtection="1">
      <alignment horizontal="right" shrinkToFit="1"/>
      <protection hidden="1"/>
    </xf>
    <xf numFmtId="0" fontId="0" fillId="5" borderId="1" xfId="0" applyFont="1" applyFill="1" applyBorder="1" applyAlignment="1" applyProtection="1">
      <alignment horizontal="center" vertical="center"/>
      <protection locked="0"/>
    </xf>
    <xf numFmtId="0" fontId="0" fillId="0" borderId="5" xfId="0" applyBorder="1" applyAlignment="1" applyProtection="1">
      <alignment horizontal="right" shrinkToFit="1"/>
      <protection hidden="1"/>
    </xf>
    <xf numFmtId="0" fontId="0" fillId="0" borderId="6" xfId="0" applyBorder="1" applyAlignment="1" applyProtection="1">
      <alignment horizontal="right" shrinkToFit="1"/>
      <protection hidden="1"/>
    </xf>
    <xf numFmtId="0" fontId="0" fillId="0" borderId="1" xfId="0" applyBorder="1" applyAlignment="1" applyProtection="1">
      <alignment horizontal="right" shrinkToFit="1"/>
      <protection hidden="1"/>
    </xf>
    <xf numFmtId="0" fontId="25" fillId="0" borderId="0" xfId="24" applyFont="1" applyBorder="1" applyAlignment="1" applyProtection="1">
      <alignment horizontal="right" vertical="top"/>
      <protection hidden="1"/>
    </xf>
    <xf numFmtId="0" fontId="22" fillId="0" borderId="0" xfId="24" applyFont="1" applyBorder="1" applyAlignment="1" applyProtection="1">
      <alignment vertical="top" wrapText="1"/>
      <protection hidden="1"/>
    </xf>
    <xf numFmtId="0" fontId="0" fillId="0" borderId="0" xfId="0" applyAlignment="1">
      <alignment/>
    </xf>
    <xf numFmtId="0" fontId="21" fillId="0" borderId="32" xfId="23" applyFont="1" applyFill="1" applyBorder="1" applyAlignment="1">
      <alignment horizontal="left" vertical="center"/>
      <protection/>
    </xf>
    <xf numFmtId="0" fontId="21" fillId="0" borderId="33" xfId="23" applyFont="1" applyFill="1" applyBorder="1" applyAlignment="1">
      <alignment horizontal="left" vertical="center"/>
      <protection/>
    </xf>
    <xf numFmtId="0" fontId="16" fillId="0" borderId="33" xfId="23" applyFont="1" applyFill="1" applyBorder="1" applyAlignment="1">
      <alignment horizontal="center"/>
      <protection/>
    </xf>
    <xf numFmtId="0" fontId="16" fillId="0" borderId="0" xfId="23" applyFont="1" applyFill="1" applyBorder="1" applyAlignment="1">
      <alignment horizontal="centerContinuous" vertical="center"/>
      <protection/>
    </xf>
    <xf numFmtId="0" fontId="16" fillId="0" borderId="34" xfId="23" applyFont="1" applyFill="1" applyBorder="1" applyAlignment="1">
      <alignment horizontal="center"/>
      <protection/>
    </xf>
    <xf numFmtId="0" fontId="16" fillId="0" borderId="7" xfId="23" applyFont="1" applyFill="1" applyBorder="1" applyAlignment="1">
      <alignment horizontal="centerContinuous" vertical="center"/>
      <protection/>
    </xf>
    <xf numFmtId="0" fontId="21" fillId="0" borderId="29" xfId="23" applyFont="1" applyFill="1" applyBorder="1" applyAlignment="1">
      <alignment horizontal="center" vertical="center"/>
      <protection/>
    </xf>
    <xf numFmtId="0" fontId="21" fillId="0" borderId="30" xfId="23" applyFont="1" applyFill="1" applyBorder="1" applyAlignment="1">
      <alignment horizontal="center" vertical="center"/>
      <protection/>
    </xf>
    <xf numFmtId="0" fontId="16" fillId="0" borderId="35" xfId="23" applyFont="1" applyFill="1" applyBorder="1" applyAlignment="1">
      <alignment horizontal="centerContinuous" vertical="center"/>
      <protection/>
    </xf>
    <xf numFmtId="0" fontId="21" fillId="0" borderId="28" xfId="23" applyFont="1" applyFill="1" applyBorder="1" applyAlignment="1">
      <alignment horizontal="center" vertical="center"/>
      <protection/>
    </xf>
    <xf numFmtId="0" fontId="16" fillId="0" borderId="27" xfId="23" applyFont="1" applyFill="1" applyBorder="1" applyAlignment="1">
      <alignment horizontal="center" vertical="center"/>
      <protection/>
    </xf>
    <xf numFmtId="0" fontId="16" fillId="0" borderId="27" xfId="23" applyFont="1" applyFill="1" applyBorder="1" applyAlignment="1">
      <alignment horizontal="center"/>
      <protection/>
    </xf>
    <xf numFmtId="0" fontId="6" fillId="3" borderId="0" xfId="20" applyFont="1" applyFill="1" applyAlignment="1">
      <alignment/>
    </xf>
    <xf numFmtId="0" fontId="6" fillId="3" borderId="0" xfId="20" applyFont="1" applyFill="1" applyAlignment="1">
      <alignment horizontal="center"/>
    </xf>
    <xf numFmtId="0" fontId="6" fillId="3" borderId="0" xfId="20" applyFont="1" applyFill="1" applyAlignment="1">
      <alignment/>
    </xf>
    <xf numFmtId="0" fontId="1" fillId="0" borderId="36" xfId="0" applyFont="1" applyBorder="1" applyAlignment="1" applyProtection="1">
      <alignment horizontal="right"/>
      <protection hidden="1"/>
    </xf>
    <xf numFmtId="0" fontId="21" fillId="0" borderId="35" xfId="0"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xf>
    <xf numFmtId="0" fontId="21" fillId="0" borderId="7" xfId="0" applyFont="1" applyBorder="1" applyAlignment="1">
      <alignment/>
    </xf>
    <xf numFmtId="0" fontId="21" fillId="0" borderId="8" xfId="0" applyFont="1" applyBorder="1" applyAlignment="1">
      <alignment/>
    </xf>
    <xf numFmtId="0" fontId="16" fillId="0" borderId="31" xfId="0" applyFont="1" applyBorder="1" applyAlignment="1">
      <alignment horizontal="centerContinuous" vertical="center"/>
    </xf>
    <xf numFmtId="0" fontId="21" fillId="0" borderId="9" xfId="0" applyFont="1" applyBorder="1" applyAlignment="1">
      <alignment horizontal="centerContinuous" vertical="center"/>
    </xf>
    <xf numFmtId="0" fontId="21" fillId="0" borderId="10" xfId="0" applyFont="1" applyBorder="1" applyAlignment="1">
      <alignment horizontal="centerContinuous" vertical="center"/>
    </xf>
    <xf numFmtId="0" fontId="21" fillId="0" borderId="37" xfId="0" applyFont="1" applyBorder="1" applyAlignment="1">
      <alignment horizontal="center"/>
    </xf>
    <xf numFmtId="0" fontId="21" fillId="0" borderId="38" xfId="0" applyFont="1" applyBorder="1" applyAlignment="1">
      <alignment horizontal="center"/>
    </xf>
    <xf numFmtId="0" fontId="21" fillId="0" borderId="0" xfId="0" applyFont="1" applyBorder="1" applyAlignment="1">
      <alignment horizontal="centerContinuous" vertical="center"/>
    </xf>
    <xf numFmtId="0" fontId="21" fillId="0" borderId="35" xfId="0" applyFont="1" applyBorder="1" applyAlignment="1">
      <alignment horizontal="centerContinuous" vertical="center"/>
    </xf>
    <xf numFmtId="0" fontId="16" fillId="0" borderId="7" xfId="0" applyFont="1" applyBorder="1" applyAlignment="1">
      <alignment horizontal="centerContinuous" vertical="center"/>
    </xf>
    <xf numFmtId="0" fontId="11" fillId="0" borderId="7" xfId="0" applyFont="1" applyBorder="1" applyAlignment="1">
      <alignment/>
    </xf>
    <xf numFmtId="0" fontId="0" fillId="0" borderId="0" xfId="0" applyFont="1" applyAlignment="1" applyProtection="1">
      <alignment/>
      <protection locked="0"/>
    </xf>
    <xf numFmtId="0" fontId="30" fillId="0" borderId="4" xfId="0" applyFont="1" applyBorder="1" applyAlignment="1">
      <alignment horizontal="left"/>
    </xf>
    <xf numFmtId="0" fontId="0" fillId="0" borderId="6" xfId="0" applyFont="1" applyBorder="1" applyAlignment="1">
      <alignment horizontal="center"/>
    </xf>
    <xf numFmtId="0" fontId="6" fillId="0" borderId="39" xfId="20" applyFill="1" applyBorder="1" applyAlignment="1">
      <alignment horizontal="center" vertical="center"/>
    </xf>
    <xf numFmtId="0" fontId="6" fillId="0" borderId="40" xfId="20" applyFont="1" applyFill="1" applyBorder="1" applyAlignment="1">
      <alignment horizontal="center" vertical="center"/>
    </xf>
    <xf numFmtId="0" fontId="6" fillId="0" borderId="40" xfId="20" applyFill="1" applyBorder="1" applyAlignment="1">
      <alignment horizontal="center" vertical="center"/>
    </xf>
    <xf numFmtId="0" fontId="6" fillId="0" borderId="41" xfId="20" applyFill="1" applyBorder="1" applyAlignment="1">
      <alignment horizontal="center" vertical="center"/>
    </xf>
    <xf numFmtId="0" fontId="6" fillId="0" borderId="21" xfId="20" applyFill="1" applyBorder="1" applyAlignment="1">
      <alignment horizontal="center" vertical="center"/>
    </xf>
    <xf numFmtId="0" fontId="6" fillId="0" borderId="3" xfId="20" applyFill="1" applyBorder="1" applyAlignment="1">
      <alignment horizontal="center" vertical="center"/>
    </xf>
    <xf numFmtId="0" fontId="6" fillId="0" borderId="18" xfId="20" applyFill="1" applyBorder="1" applyAlignment="1">
      <alignment horizontal="center" vertical="center"/>
    </xf>
    <xf numFmtId="0" fontId="0" fillId="3" borderId="0" xfId="21" applyFill="1">
      <alignment/>
      <protection/>
    </xf>
    <xf numFmtId="0" fontId="0" fillId="0" borderId="0" xfId="24" applyFont="1" applyFill="1" applyBorder="1" applyProtection="1">
      <alignment/>
      <protection hidden="1"/>
    </xf>
    <xf numFmtId="0" fontId="15" fillId="0" borderId="0" xfId="24" applyFont="1" applyFill="1" applyBorder="1" applyProtection="1">
      <alignment/>
      <protection hidden="1"/>
    </xf>
    <xf numFmtId="0" fontId="0" fillId="0" borderId="0" xfId="21" applyFill="1">
      <alignment/>
      <protection/>
    </xf>
    <xf numFmtId="0" fontId="21" fillId="3" borderId="0" xfId="0" applyFont="1" applyFill="1" applyAlignment="1" applyProtection="1">
      <alignment horizontal="left"/>
      <protection hidden="1"/>
    </xf>
    <xf numFmtId="0" fontId="0" fillId="0" borderId="4" xfId="0" applyFont="1" applyBorder="1" applyAlignment="1" applyProtection="1">
      <alignment horizontal="left"/>
      <protection hidden="1"/>
    </xf>
    <xf numFmtId="0" fontId="0" fillId="0" borderId="6" xfId="0" applyFont="1" applyBorder="1" applyAlignment="1" applyProtection="1">
      <alignment horizontal="left"/>
      <protection hidden="1"/>
    </xf>
    <xf numFmtId="0" fontId="11" fillId="2" borderId="0" xfId="22" applyFont="1" applyBorder="1" applyAlignment="1" applyProtection="1">
      <alignment vertical="top"/>
      <protection hidden="1"/>
    </xf>
    <xf numFmtId="0" fontId="0" fillId="0" borderId="0" xfId="0" applyAlignment="1">
      <alignment horizontal="left" vertical="top" wrapText="1"/>
    </xf>
    <xf numFmtId="0" fontId="0" fillId="0" borderId="0" xfId="24" applyFont="1" applyBorder="1" applyAlignment="1" applyProtection="1">
      <alignment vertical="top" wrapText="1"/>
      <protection hidden="1"/>
    </xf>
    <xf numFmtId="0" fontId="0" fillId="0" borderId="0" xfId="0" applyAlignment="1">
      <alignment wrapText="1"/>
    </xf>
    <xf numFmtId="0" fontId="0" fillId="0" borderId="0" xfId="24" applyFont="1" applyBorder="1" applyAlignment="1" applyProtection="1">
      <alignment horizontal="center" vertical="center" wrapText="1"/>
      <protection hidden="1"/>
    </xf>
    <xf numFmtId="0" fontId="0" fillId="0" borderId="0" xfId="0" applyAlignment="1">
      <alignment horizontal="center" wrapText="1"/>
    </xf>
  </cellXfs>
  <cellStyles count="12">
    <cellStyle name="Normal" xfId="0"/>
    <cellStyle name="Comma" xfId="15"/>
    <cellStyle name="Comma [0]" xfId="16"/>
    <cellStyle name="Currency" xfId="17"/>
    <cellStyle name="Currency [0]" xfId="18"/>
    <cellStyle name="Followed Hyperlink" xfId="19"/>
    <cellStyle name="Hyperlink" xfId="20"/>
    <cellStyle name="Normal_RC8007010104" xfId="21"/>
    <cellStyle name="Normal_Steel1939UK001016-1" xfId="22"/>
    <cellStyle name="Normal_SteelUK001202-" xfId="23"/>
    <cellStyle name="Normal_WeldCalc010424" xfId="24"/>
    <cellStyle name="Percent" xfId="25"/>
  </cellStyles>
  <dxfs count="3">
    <dxf>
      <fill>
        <patternFill>
          <bgColor rgb="FFCCFFFF"/>
        </patternFill>
      </fill>
      <border/>
    </dxf>
    <dxf>
      <fill>
        <patternFill>
          <bgColor rgb="FFFFFF99"/>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0</xdr:rowOff>
    </xdr:from>
    <xdr:to>
      <xdr:col>4</xdr:col>
      <xdr:colOff>2028825</xdr:colOff>
      <xdr:row>26</xdr:row>
      <xdr:rowOff>180975</xdr:rowOff>
    </xdr:to>
    <xdr:grpSp>
      <xdr:nvGrpSpPr>
        <xdr:cNvPr id="1" name="Group 55"/>
        <xdr:cNvGrpSpPr>
          <a:grpSpLocks/>
        </xdr:cNvGrpSpPr>
      </xdr:nvGrpSpPr>
      <xdr:grpSpPr>
        <a:xfrm>
          <a:off x="657225" y="895350"/>
          <a:ext cx="4371975" cy="4400550"/>
          <a:chOff x="66" y="94"/>
          <a:chExt cx="459" cy="462"/>
        </a:xfrm>
        <a:solidFill>
          <a:srgbClr val="FFFFFF"/>
        </a:solidFill>
      </xdr:grpSpPr>
      <xdr:grpSp>
        <xdr:nvGrpSpPr>
          <xdr:cNvPr id="2" name="Group 52"/>
          <xdr:cNvGrpSpPr>
            <a:grpSpLocks/>
          </xdr:cNvGrpSpPr>
        </xdr:nvGrpSpPr>
        <xdr:grpSpPr>
          <a:xfrm>
            <a:off x="66" y="95"/>
            <a:ext cx="211" cy="337"/>
            <a:chOff x="66" y="95"/>
            <a:chExt cx="211" cy="337"/>
          </a:xfrm>
          <a:solidFill>
            <a:srgbClr val="FFFFFF"/>
          </a:solidFill>
        </xdr:grpSpPr>
      </xdr:grpSp>
      <xdr:grpSp>
        <xdr:nvGrpSpPr>
          <xdr:cNvPr id="20" name="Group 54"/>
          <xdr:cNvGrpSpPr>
            <a:grpSpLocks/>
          </xdr:cNvGrpSpPr>
        </xdr:nvGrpSpPr>
        <xdr:grpSpPr>
          <a:xfrm>
            <a:off x="314" y="94"/>
            <a:ext cx="211" cy="318"/>
            <a:chOff x="314" y="94"/>
            <a:chExt cx="211" cy="318"/>
          </a:xfrm>
          <a:solidFill>
            <a:srgbClr val="FFFFFF"/>
          </a:solidFill>
        </xdr:grpSpPr>
      </xdr:grpSp>
      <xdr:grpSp>
        <xdr:nvGrpSpPr>
          <xdr:cNvPr id="37" name="Group 53"/>
          <xdr:cNvGrpSpPr>
            <a:grpSpLocks/>
          </xdr:cNvGrpSpPr>
        </xdr:nvGrpSpPr>
        <xdr:grpSpPr>
          <a:xfrm>
            <a:off x="66" y="458"/>
            <a:ext cx="211" cy="98"/>
            <a:chOff x="66" y="458"/>
            <a:chExt cx="211" cy="98"/>
          </a:xfrm>
          <a:solidFill>
            <a:srgbClr val="FFFFFF"/>
          </a:solidFill>
        </xdr:grpSpPr>
      </xdr:grp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0</xdr:colOff>
      <xdr:row>2</xdr:row>
      <xdr:rowOff>9525</xdr:rowOff>
    </xdr:to>
    <xdr:grpSp>
      <xdr:nvGrpSpPr>
        <xdr:cNvPr id="1" name="Group 1"/>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4"/>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1"/>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1"/>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5"/>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0</xdr:col>
      <xdr:colOff>371475</xdr:colOff>
      <xdr:row>1</xdr:row>
      <xdr:rowOff>161925</xdr:rowOff>
    </xdr:to>
    <xdr:grpSp>
      <xdr:nvGrpSpPr>
        <xdr:cNvPr id="1" name="Group 1"/>
        <xdr:cNvGrpSpPr>
          <a:grpSpLocks/>
        </xdr:cNvGrpSpPr>
      </xdr:nvGrpSpPr>
      <xdr:grpSpPr>
        <a:xfrm>
          <a:off x="19050" y="9525"/>
          <a:ext cx="352425" cy="342900"/>
          <a:chOff x="3" y="3"/>
          <a:chExt cx="37" cy="36"/>
        </a:xfrm>
        <a:solidFill>
          <a:srgbClr val="FFFFFF"/>
        </a:solidFill>
      </xdr:grpSpPr>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1"/>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5"/>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0</xdr:col>
      <xdr:colOff>371475</xdr:colOff>
      <xdr:row>1</xdr:row>
      <xdr:rowOff>171450</xdr:rowOff>
    </xdr:to>
    <xdr:grpSp>
      <xdr:nvGrpSpPr>
        <xdr:cNvPr id="1" name="Group 5"/>
        <xdr:cNvGrpSpPr>
          <a:grpSpLocks/>
        </xdr:cNvGrpSpPr>
      </xdr:nvGrpSpPr>
      <xdr:grpSpPr>
        <a:xfrm>
          <a:off x="19050" y="28575"/>
          <a:ext cx="352425" cy="342900"/>
          <a:chOff x="3" y="3"/>
          <a:chExt cx="37" cy="36"/>
        </a:xfrm>
        <a:solidFill>
          <a:srgbClr val="FFFFFF"/>
        </a:solidFill>
      </xdr:grpSpPr>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0</xdr:col>
      <xdr:colOff>361950</xdr:colOff>
      <xdr:row>2</xdr:row>
      <xdr:rowOff>9525</xdr:rowOff>
    </xdr:to>
    <xdr:grpSp>
      <xdr:nvGrpSpPr>
        <xdr:cNvPr id="1" name="Group 1"/>
        <xdr:cNvGrpSpPr>
          <a:grpSpLocks/>
        </xdr:cNvGrpSpPr>
      </xdr:nvGrpSpPr>
      <xdr:grpSpPr>
        <a:xfrm>
          <a:off x="9525" y="28575"/>
          <a:ext cx="352425" cy="342900"/>
          <a:chOff x="3" y="3"/>
          <a:chExt cx="37" cy="36"/>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5"/>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8"/>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3"/>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0</xdr:col>
      <xdr:colOff>371475</xdr:colOff>
      <xdr:row>2</xdr:row>
      <xdr:rowOff>9525</xdr:rowOff>
    </xdr:to>
    <xdr:grpSp>
      <xdr:nvGrpSpPr>
        <xdr:cNvPr id="1" name="Group 2"/>
        <xdr:cNvGrpSpPr>
          <a:grpSpLocks/>
        </xdr:cNvGrpSpPr>
      </xdr:nvGrpSpPr>
      <xdr:grpSpPr>
        <a:xfrm>
          <a:off x="19050" y="28575"/>
          <a:ext cx="352425" cy="342900"/>
          <a:chOff x="3" y="3"/>
          <a:chExt cx="37" cy="36"/>
        </a:xfrm>
        <a:solidFill>
          <a:srgbClr val="FFFFFF"/>
        </a:solidFill>
      </xdr:grpSpPr>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0</xdr:col>
      <xdr:colOff>371475</xdr:colOff>
      <xdr:row>2</xdr:row>
      <xdr:rowOff>9525</xdr:rowOff>
    </xdr:to>
    <xdr:grpSp>
      <xdr:nvGrpSpPr>
        <xdr:cNvPr id="1" name="Group 1"/>
        <xdr:cNvGrpSpPr>
          <a:grpSpLocks/>
        </xdr:cNvGrpSpPr>
      </xdr:nvGrpSpPr>
      <xdr:grpSpPr>
        <a:xfrm>
          <a:off x="19050" y="28575"/>
          <a:ext cx="352425" cy="342900"/>
          <a:chOff x="3" y="3"/>
          <a:chExt cx="37" cy="36"/>
        </a:xfrm>
        <a:solidFill>
          <a:srgbClr val="FFFFFF"/>
        </a:solidFill>
      </xdr:grpSpPr>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32</xdr:row>
      <xdr:rowOff>85725</xdr:rowOff>
    </xdr:from>
    <xdr:ext cx="76200" cy="200025"/>
    <xdr:sp>
      <xdr:nvSpPr>
        <xdr:cNvPr id="1" name="TextBox 6"/>
        <xdr:cNvSpPr txBox="1">
          <a:spLocks noChangeArrowheads="1"/>
        </xdr:cNvSpPr>
      </xdr:nvSpPr>
      <xdr:spPr>
        <a:xfrm>
          <a:off x="5019675" y="5915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2933700</xdr:colOff>
      <xdr:row>131</xdr:row>
      <xdr:rowOff>85725</xdr:rowOff>
    </xdr:from>
    <xdr:to>
      <xdr:col>2</xdr:col>
      <xdr:colOff>4648200</xdr:colOff>
      <xdr:row>154</xdr:row>
      <xdr:rowOff>123825</xdr:rowOff>
    </xdr:to>
    <xdr:sp>
      <xdr:nvSpPr>
        <xdr:cNvPr id="1" name="TextBox 375"/>
        <xdr:cNvSpPr txBox="1">
          <a:spLocks noChangeArrowheads="1"/>
        </xdr:cNvSpPr>
      </xdr:nvSpPr>
      <xdr:spPr>
        <a:xfrm>
          <a:off x="4200525" y="40119300"/>
          <a:ext cx="1714500" cy="3781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200" b="1" i="0" u="none" baseline="0">
              <a:latin typeface="Arial"/>
              <a:ea typeface="Arial"/>
              <a:cs typeface="Arial"/>
            </a:rPr>
            <a:t>  Metric Prefixes </a:t>
          </a:r>
          <a:r>
            <a:rPr lang="en-US" cap="none" sz="1000" b="0" i="0" u="none" baseline="0">
              <a:latin typeface="Arial"/>
              <a:ea typeface="Arial"/>
              <a:cs typeface="Arial"/>
            </a:rPr>
            <a:t> 
       Abbreviations      Factors   
 1       exa     E           10</a:t>
          </a:r>
          <a:r>
            <a:rPr lang="en-US" cap="none" sz="1000" b="0" i="0" u="none" baseline="30000">
              <a:latin typeface="Arial"/>
              <a:ea typeface="Arial"/>
              <a:cs typeface="Arial"/>
            </a:rPr>
            <a:t>18</a:t>
          </a:r>
          <a:r>
            <a:rPr lang="en-US" cap="none" sz="1000" b="0" i="0" u="none" baseline="0">
              <a:latin typeface="Arial"/>
              <a:ea typeface="Arial"/>
              <a:cs typeface="Arial"/>
            </a:rPr>
            <a:t>
 2       peta    P           10</a:t>
          </a:r>
          <a:r>
            <a:rPr lang="en-US" cap="none" sz="1000" b="0" i="0" u="none" baseline="30000">
              <a:latin typeface="Arial"/>
              <a:ea typeface="Arial"/>
              <a:cs typeface="Arial"/>
            </a:rPr>
            <a:t>15</a:t>
          </a:r>
          <a:r>
            <a:rPr lang="en-US" cap="none" sz="1000" b="0" i="0" u="none" baseline="0">
              <a:latin typeface="Arial"/>
              <a:ea typeface="Arial"/>
              <a:cs typeface="Arial"/>
            </a:rPr>
            <a:t>
 3       tera    T            10</a:t>
          </a:r>
          <a:r>
            <a:rPr lang="en-US" cap="none" sz="1000" b="0" i="0" u="none" baseline="30000">
              <a:latin typeface="Arial"/>
              <a:ea typeface="Arial"/>
              <a:cs typeface="Arial"/>
            </a:rPr>
            <a:t>12</a:t>
          </a:r>
          <a:r>
            <a:rPr lang="en-US" cap="none" sz="1000" b="0" i="0" u="none" baseline="0">
              <a:latin typeface="Arial"/>
              <a:ea typeface="Arial"/>
              <a:cs typeface="Arial"/>
            </a:rPr>
            <a:t>
 4       giga    G           10</a:t>
          </a:r>
          <a:r>
            <a:rPr lang="en-US" cap="none" sz="1000" b="0" i="0" u="none" baseline="30000">
              <a:latin typeface="Arial"/>
              <a:ea typeface="Arial"/>
              <a:cs typeface="Arial"/>
            </a:rPr>
            <a:t>9</a:t>
          </a:r>
          <a:r>
            <a:rPr lang="en-US" cap="none" sz="1000" b="0" i="0" u="none" baseline="0">
              <a:latin typeface="Arial"/>
              <a:ea typeface="Arial"/>
              <a:cs typeface="Arial"/>
            </a:rPr>
            <a:t>
 5       mega   M          10</a:t>
          </a:r>
          <a:r>
            <a:rPr lang="en-US" cap="none" sz="1000" b="0" i="0" u="none" baseline="30000">
              <a:latin typeface="Arial"/>
              <a:ea typeface="Arial"/>
              <a:cs typeface="Arial"/>
            </a:rPr>
            <a:t>6</a:t>
          </a:r>
          <a:r>
            <a:rPr lang="en-US" cap="none" sz="1000" b="0" i="0" u="none" baseline="0">
              <a:latin typeface="Arial"/>
              <a:ea typeface="Arial"/>
              <a:cs typeface="Arial"/>
            </a:rPr>
            <a:t>
 6       kilo      k           10</a:t>
          </a:r>
          <a:r>
            <a:rPr lang="en-US" cap="none" sz="1000" b="0" i="0" u="none" baseline="30000">
              <a:latin typeface="Arial"/>
              <a:ea typeface="Arial"/>
              <a:cs typeface="Arial"/>
            </a:rPr>
            <a:t>3</a:t>
          </a:r>
          <a:r>
            <a:rPr lang="en-US" cap="none" sz="1000" b="0" i="0" u="none" baseline="0">
              <a:latin typeface="Arial"/>
              <a:ea typeface="Arial"/>
              <a:cs typeface="Arial"/>
            </a:rPr>
            <a:t>
 7       hecto   h           10</a:t>
          </a:r>
          <a:r>
            <a:rPr lang="en-US" cap="none" sz="1000" b="0" i="0" u="none" baseline="30000">
              <a:latin typeface="Arial"/>
              <a:ea typeface="Arial"/>
              <a:cs typeface="Arial"/>
            </a:rPr>
            <a:t>2</a:t>
          </a:r>
          <a:r>
            <a:rPr lang="en-US" cap="none" sz="1000" b="0" i="0" u="none" baseline="0">
              <a:latin typeface="Arial"/>
              <a:ea typeface="Arial"/>
              <a:cs typeface="Arial"/>
            </a:rPr>
            <a:t>
 8       deca    da         10
 9       deci     d           10</a:t>
          </a:r>
          <a:r>
            <a:rPr lang="en-US" cap="none" sz="1000" b="0" i="0" u="none" baseline="30000">
              <a:latin typeface="Arial"/>
              <a:ea typeface="Arial"/>
              <a:cs typeface="Arial"/>
            </a:rPr>
            <a:t>-1</a:t>
          </a:r>
          <a:r>
            <a:rPr lang="en-US" cap="none" sz="1000" b="0" i="0" u="none" baseline="0">
              <a:latin typeface="Arial"/>
              <a:ea typeface="Arial"/>
              <a:cs typeface="Arial"/>
            </a:rPr>
            <a:t>
10      centi   c            10</a:t>
          </a:r>
          <a:r>
            <a:rPr lang="en-US" cap="none" sz="1000" b="0" i="0" u="none" baseline="30000">
              <a:latin typeface="Arial"/>
              <a:ea typeface="Arial"/>
              <a:cs typeface="Arial"/>
            </a:rPr>
            <a:t>-2</a:t>
          </a:r>
          <a:r>
            <a:rPr lang="en-US" cap="none" sz="1000" b="0" i="0" u="none" baseline="0">
              <a:latin typeface="Arial"/>
              <a:ea typeface="Arial"/>
              <a:cs typeface="Arial"/>
            </a:rPr>
            <a:t>
11      milli    m           10</a:t>
          </a:r>
          <a:r>
            <a:rPr lang="en-US" cap="none" sz="1000" b="0" i="0" u="none" baseline="30000">
              <a:latin typeface="Arial"/>
              <a:ea typeface="Arial"/>
              <a:cs typeface="Arial"/>
            </a:rPr>
            <a:t>-3</a:t>
          </a:r>
          <a:r>
            <a:rPr lang="en-US" cap="none" sz="1000" b="0" i="0" u="none" baseline="0">
              <a:latin typeface="Arial"/>
              <a:ea typeface="Arial"/>
              <a:cs typeface="Arial"/>
            </a:rPr>
            <a:t>
12      micro  m           10</a:t>
          </a:r>
          <a:r>
            <a:rPr lang="en-US" cap="none" sz="1000" b="0" i="0" u="none" baseline="30000">
              <a:latin typeface="Arial"/>
              <a:ea typeface="Arial"/>
              <a:cs typeface="Arial"/>
            </a:rPr>
            <a:t>-6</a:t>
          </a:r>
          <a:r>
            <a:rPr lang="en-US" cap="none" sz="1000" b="0" i="0" u="none" baseline="0">
              <a:latin typeface="Arial"/>
              <a:ea typeface="Arial"/>
              <a:cs typeface="Arial"/>
            </a:rPr>
            <a:t>
13      nano   n           10</a:t>
          </a:r>
          <a:r>
            <a:rPr lang="en-US" cap="none" sz="1000" b="0" i="0" u="none" baseline="30000">
              <a:latin typeface="Arial"/>
              <a:ea typeface="Arial"/>
              <a:cs typeface="Arial"/>
            </a:rPr>
            <a:t>-9</a:t>
          </a:r>
          <a:r>
            <a:rPr lang="en-US" cap="none" sz="1000" b="0" i="0" u="none" baseline="0">
              <a:latin typeface="Arial"/>
              <a:ea typeface="Arial"/>
              <a:cs typeface="Arial"/>
            </a:rPr>
            <a:t>
14      pico    p           10</a:t>
          </a:r>
          <a:r>
            <a:rPr lang="en-US" cap="none" sz="1000" b="0" i="0" u="none" baseline="30000">
              <a:latin typeface="Arial"/>
              <a:ea typeface="Arial"/>
              <a:cs typeface="Arial"/>
            </a:rPr>
            <a:t>-12</a:t>
          </a:r>
          <a:r>
            <a:rPr lang="en-US" cap="none" sz="1000" b="0" i="0" u="none" baseline="0">
              <a:latin typeface="Arial"/>
              <a:ea typeface="Arial"/>
              <a:cs typeface="Arial"/>
            </a:rPr>
            <a:t>
15      femto  f            10</a:t>
          </a:r>
          <a:r>
            <a:rPr lang="en-US" cap="none" sz="1000" b="0" i="0" u="none" baseline="30000">
              <a:latin typeface="Arial"/>
              <a:ea typeface="Arial"/>
              <a:cs typeface="Arial"/>
            </a:rPr>
            <a:t>-15</a:t>
          </a:r>
          <a:r>
            <a:rPr lang="en-US" cap="none" sz="1000" b="0" i="0" u="none" baseline="0">
              <a:latin typeface="Arial"/>
              <a:ea typeface="Arial"/>
              <a:cs typeface="Arial"/>
            </a:rPr>
            <a:t>
16      atto    a            10</a:t>
          </a:r>
          <a:r>
            <a:rPr lang="en-US" cap="none" sz="1000" b="0" i="0" u="none" baseline="30000">
              <a:latin typeface="Arial"/>
              <a:ea typeface="Arial"/>
              <a:cs typeface="Arial"/>
            </a:rPr>
            <a:t>-18</a:t>
          </a: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1"/>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1"/>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1"/>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3"/>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6"/>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1"/>
        <xdr:cNvGrpSpPr>
          <a:grpSpLocks/>
        </xdr:cNvGrpSpPr>
      </xdr:nvGrpSpPr>
      <xdr:grpSpPr>
        <a:xfrm>
          <a:off x="28575" y="28575"/>
          <a:ext cx="352425" cy="342900"/>
          <a:chOff x="3" y="3"/>
          <a:chExt cx="37" cy="36"/>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381000</xdr:colOff>
      <xdr:row>2</xdr:row>
      <xdr:rowOff>9525</xdr:rowOff>
    </xdr:to>
    <xdr:grpSp>
      <xdr:nvGrpSpPr>
        <xdr:cNvPr id="1" name="Group 1"/>
        <xdr:cNvGrpSpPr>
          <a:grpSpLocks/>
        </xdr:cNvGrpSpPr>
      </xdr:nvGrpSpPr>
      <xdr:grpSpPr>
        <a:xfrm>
          <a:off x="28575" y="28575"/>
          <a:ext cx="352425" cy="342900"/>
          <a:chOff x="3" y="3"/>
          <a:chExt cx="37" cy="36"/>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Tech\5950Welds\WeldCalc0104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ds"/>
      <sheetName val="Store"/>
      <sheetName val="Features"/>
      <sheetName val="Notes"/>
      <sheetName val="Terms"/>
      <sheetName val="Rev"/>
    </sheetNames>
    <sheetDataSet>
      <sheetData sheetId="0">
        <row r="9">
          <cell r="K9" t="str">
            <v>Example 4</v>
          </cell>
        </row>
        <row r="10">
          <cell r="K10" t="str">
            <v>Shear+Torsion+Bending - A 127x64 RSC Welded to the inside flange of 305x305 UC</v>
          </cell>
        </row>
        <row r="14">
          <cell r="J14">
            <v>300</v>
          </cell>
          <cell r="K14">
            <v>62.5</v>
          </cell>
          <cell r="M14">
            <v>19.4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19.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20.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1.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2.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23.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4.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25.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F28"/>
  <sheetViews>
    <sheetView showGridLines="0" showRowColHeaders="0" tabSelected="1" workbookViewId="0" topLeftCell="A1">
      <selection activeCell="A2" sqref="A2"/>
    </sheetView>
  </sheetViews>
  <sheetFormatPr defaultColWidth="9.140625" defaultRowHeight="12.75"/>
  <cols>
    <col min="1" max="1" width="4.8515625" style="0" customWidth="1"/>
    <col min="2" max="2" width="4.7109375" style="0" customWidth="1"/>
    <col min="3" max="3" width="30.7109375" style="0" customWidth="1"/>
    <col min="4" max="4" width="4.7109375" style="0" customWidth="1"/>
    <col min="5" max="5" width="30.7109375" style="0" customWidth="1"/>
    <col min="6" max="6" width="4.28125" style="0" customWidth="1"/>
    <col min="8" max="8" width="30.28125" style="0" customWidth="1"/>
    <col min="9" max="9" width="28.8515625" style="0" customWidth="1"/>
  </cols>
  <sheetData>
    <row r="1" spans="1:6" ht="16.5" thickBot="1">
      <c r="A1" s="38"/>
      <c r="B1" s="39"/>
      <c r="C1" s="40"/>
      <c r="D1" s="41" t="s">
        <v>570</v>
      </c>
      <c r="E1" s="42" t="s">
        <v>571</v>
      </c>
      <c r="F1" s="43"/>
    </row>
    <row r="2" spans="1:6" ht="18">
      <c r="A2" s="38"/>
      <c r="B2" s="122" t="s">
        <v>663</v>
      </c>
      <c r="C2" s="97"/>
      <c r="D2" s="97"/>
      <c r="E2" s="98"/>
      <c r="F2" s="43"/>
    </row>
    <row r="3" spans="1:6" ht="19.5" customHeight="1" thickBot="1">
      <c r="A3" s="43"/>
      <c r="B3" s="140" t="s">
        <v>302</v>
      </c>
      <c r="C3" s="138"/>
      <c r="D3" s="138"/>
      <c r="E3" s="143"/>
      <c r="F3" s="43"/>
    </row>
    <row r="4" spans="1:6" ht="16.5" thickBot="1">
      <c r="A4" s="43"/>
      <c r="B4" s="145" t="s">
        <v>572</v>
      </c>
      <c r="C4" s="137" t="s">
        <v>365</v>
      </c>
      <c r="D4" s="146" t="s">
        <v>572</v>
      </c>
      <c r="E4" s="137" t="s">
        <v>365</v>
      </c>
      <c r="F4" s="43"/>
    </row>
    <row r="5" spans="1:6" ht="15">
      <c r="A5" s="43"/>
      <c r="B5" s="144">
        <v>1</v>
      </c>
      <c r="C5" s="168"/>
      <c r="D5" s="144">
        <v>18</v>
      </c>
      <c r="E5" s="168"/>
      <c r="F5" s="43"/>
    </row>
    <row r="6" spans="1:6" ht="15">
      <c r="A6" s="43"/>
      <c r="B6" s="141">
        <v>2</v>
      </c>
      <c r="C6" s="169"/>
      <c r="D6" s="141">
        <v>19</v>
      </c>
      <c r="E6" s="170"/>
      <c r="F6" s="43"/>
    </row>
    <row r="7" spans="1:6" ht="15">
      <c r="A7" s="43"/>
      <c r="B7" s="141">
        <v>3</v>
      </c>
      <c r="C7" s="169"/>
      <c r="D7" s="141">
        <v>20</v>
      </c>
      <c r="E7" s="170"/>
      <c r="F7" s="43"/>
    </row>
    <row r="8" spans="1:6" ht="15">
      <c r="A8" s="43"/>
      <c r="B8" s="141">
        <v>4</v>
      </c>
      <c r="C8" s="170"/>
      <c r="D8" s="141">
        <v>21</v>
      </c>
      <c r="E8" s="170"/>
      <c r="F8" s="43"/>
    </row>
    <row r="9" spans="1:6" ht="15">
      <c r="A9" s="43"/>
      <c r="B9" s="141">
        <v>5</v>
      </c>
      <c r="C9" s="169"/>
      <c r="D9" s="141">
        <v>22</v>
      </c>
      <c r="E9" s="170"/>
      <c r="F9" s="43"/>
    </row>
    <row r="10" spans="1:6" ht="15">
      <c r="A10" s="43"/>
      <c r="B10" s="141">
        <v>6</v>
      </c>
      <c r="C10" s="170"/>
      <c r="D10" s="141">
        <v>23</v>
      </c>
      <c r="E10" s="170"/>
      <c r="F10" s="43"/>
    </row>
    <row r="11" spans="1:6" ht="15">
      <c r="A11" s="43"/>
      <c r="B11" s="141">
        <v>7</v>
      </c>
      <c r="C11" s="170"/>
      <c r="D11" s="141">
        <v>24</v>
      </c>
      <c r="E11" s="170"/>
      <c r="F11" s="43"/>
    </row>
    <row r="12" spans="1:6" ht="15">
      <c r="A12" s="43"/>
      <c r="B12" s="141">
        <v>8</v>
      </c>
      <c r="C12" s="169"/>
      <c r="D12" s="141">
        <v>25</v>
      </c>
      <c r="E12" s="170"/>
      <c r="F12" s="43"/>
    </row>
    <row r="13" spans="1:6" ht="15">
      <c r="A13" s="43"/>
      <c r="B13" s="141">
        <v>9</v>
      </c>
      <c r="C13" s="170"/>
      <c r="D13" s="141">
        <v>26</v>
      </c>
      <c r="E13" s="170"/>
      <c r="F13" s="43"/>
    </row>
    <row r="14" spans="1:6" ht="15">
      <c r="A14" s="43"/>
      <c r="B14" s="141">
        <v>10</v>
      </c>
      <c r="C14" s="169"/>
      <c r="D14" s="141">
        <v>27</v>
      </c>
      <c r="E14" s="170"/>
      <c r="F14" s="43"/>
    </row>
    <row r="15" spans="1:6" ht="15">
      <c r="A15" s="43"/>
      <c r="B15" s="141">
        <v>11</v>
      </c>
      <c r="C15" s="169"/>
      <c r="D15" s="141">
        <v>28</v>
      </c>
      <c r="E15" s="170"/>
      <c r="F15" s="43"/>
    </row>
    <row r="16" spans="1:6" ht="15">
      <c r="A16" s="43"/>
      <c r="B16" s="141">
        <v>12</v>
      </c>
      <c r="C16" s="169"/>
      <c r="D16" s="141">
        <v>29</v>
      </c>
      <c r="E16" s="170"/>
      <c r="F16" s="43"/>
    </row>
    <row r="17" spans="1:6" ht="15">
      <c r="A17" s="43"/>
      <c r="B17" s="141">
        <v>13</v>
      </c>
      <c r="C17" s="170"/>
      <c r="D17" s="141">
        <v>30</v>
      </c>
      <c r="E17" s="170"/>
      <c r="F17" s="43"/>
    </row>
    <row r="18" spans="1:6" ht="15">
      <c r="A18" s="43"/>
      <c r="B18" s="141">
        <v>14</v>
      </c>
      <c r="C18" s="170"/>
      <c r="D18" s="141">
        <v>31</v>
      </c>
      <c r="E18" s="170"/>
      <c r="F18" s="43"/>
    </row>
    <row r="19" spans="1:6" ht="15">
      <c r="A19" s="43"/>
      <c r="B19" s="141">
        <v>15</v>
      </c>
      <c r="C19" s="170"/>
      <c r="D19" s="141">
        <v>32</v>
      </c>
      <c r="E19" s="170"/>
      <c r="F19" s="43"/>
    </row>
    <row r="20" spans="1:6" ht="15">
      <c r="A20" s="43"/>
      <c r="B20" s="141">
        <v>16</v>
      </c>
      <c r="C20" s="170"/>
      <c r="D20" s="141">
        <v>33</v>
      </c>
      <c r="E20" s="170"/>
      <c r="F20" s="43"/>
    </row>
    <row r="21" spans="1:6" ht="15.75" thickBot="1">
      <c r="A21" s="43"/>
      <c r="B21" s="142">
        <v>17</v>
      </c>
      <c r="C21" s="171"/>
      <c r="D21" s="142"/>
      <c r="E21" s="171"/>
      <c r="F21" s="43"/>
    </row>
    <row r="22" spans="1:6" ht="16.5" thickBot="1">
      <c r="A22" s="43"/>
      <c r="B22" s="145" t="s">
        <v>572</v>
      </c>
      <c r="C22" s="139" t="s">
        <v>573</v>
      </c>
      <c r="D22" s="135"/>
      <c r="E22" s="136"/>
      <c r="F22" s="43"/>
    </row>
    <row r="23" spans="1:6" ht="15">
      <c r="A23" s="43"/>
      <c r="B23" s="144" t="s">
        <v>24</v>
      </c>
      <c r="C23" s="172"/>
      <c r="D23" s="103" t="s">
        <v>351</v>
      </c>
      <c r="E23" s="104"/>
      <c r="F23" s="43"/>
    </row>
    <row r="24" spans="1:6" ht="15">
      <c r="A24" s="43"/>
      <c r="B24" s="141" t="s">
        <v>25</v>
      </c>
      <c r="C24" s="173"/>
      <c r="D24" s="99" t="s">
        <v>353</v>
      </c>
      <c r="E24" s="101"/>
      <c r="F24" s="43"/>
    </row>
    <row r="25" spans="1:6" ht="15">
      <c r="A25" s="43"/>
      <c r="B25" s="141" t="s">
        <v>26</v>
      </c>
      <c r="C25" s="173"/>
      <c r="D25" s="99" t="s">
        <v>352</v>
      </c>
      <c r="E25" s="101"/>
      <c r="F25" s="43"/>
    </row>
    <row r="26" spans="1:6" ht="15">
      <c r="A26" s="43"/>
      <c r="B26" s="141" t="s">
        <v>27</v>
      </c>
      <c r="C26" s="173"/>
      <c r="D26" s="99" t="s">
        <v>354</v>
      </c>
      <c r="E26" s="101"/>
      <c r="F26" s="43"/>
    </row>
    <row r="27" spans="1:6" ht="15.75" thickBot="1">
      <c r="A27" s="43"/>
      <c r="B27" s="142" t="s">
        <v>28</v>
      </c>
      <c r="C27" s="174"/>
      <c r="D27" s="100" t="s">
        <v>355</v>
      </c>
      <c r="E27" s="102"/>
      <c r="F27" s="43"/>
    </row>
    <row r="28" spans="1:6" ht="15">
      <c r="A28" s="11" t="str">
        <f>Terms!$A$22</f>
        <v>UnitsCalc20050823</v>
      </c>
      <c r="B28" s="43"/>
      <c r="C28" s="43"/>
      <c r="D28" s="44"/>
      <c r="E28" s="43"/>
      <c r="F28" s="13" t="s">
        <v>206</v>
      </c>
    </row>
  </sheetData>
  <sheetProtection sheet="1" objects="1" scenarios="1"/>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7">
    <pageSetUpPr fitToPage="1"/>
  </sheetPr>
  <dimension ref="A1:G29"/>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7109375" style="0" customWidth="1"/>
    <col min="2" max="2" width="27.8515625" style="0" customWidth="1"/>
    <col min="3" max="3" width="18.7109375" style="0" customWidth="1"/>
    <col min="4" max="4" width="22.140625" style="0" customWidth="1"/>
    <col min="5" max="5" width="5.8515625" style="0" customWidth="1"/>
    <col min="6" max="6" width="24.00390625" style="0" hidden="1" customWidth="1"/>
    <col min="7" max="7" width="4.8515625" style="0" hidden="1" customWidth="1"/>
  </cols>
  <sheetData>
    <row r="1" spans="1:7" ht="15" customHeight="1" thickBot="1">
      <c r="A1" s="147"/>
      <c r="B1" s="36" t="s">
        <v>236</v>
      </c>
      <c r="C1" s="36"/>
      <c r="D1" s="36"/>
      <c r="E1" s="179" t="str">
        <f>Decimals!C6</f>
        <v>F</v>
      </c>
      <c r="F1" s="67">
        <v>5</v>
      </c>
      <c r="G1" s="46"/>
    </row>
    <row r="2" spans="1:7" ht="13.5" thickBot="1">
      <c r="A2" s="70"/>
      <c r="B2" s="150" t="s">
        <v>662</v>
      </c>
      <c r="C2" s="128">
        <v>1</v>
      </c>
      <c r="D2" s="68" t="e">
        <f>Ucorig()</f>
        <v>#VALUE!</v>
      </c>
      <c r="E2" s="71"/>
      <c r="F2" s="67">
        <v>1</v>
      </c>
      <c r="G2" s="46">
        <v>28</v>
      </c>
    </row>
    <row r="3" spans="1:7" ht="12.75">
      <c r="A3" s="70"/>
      <c r="B3" s="124" t="e">
        <f>Ucd()</f>
        <v>#VALUE!</v>
      </c>
      <c r="C3" s="59" t="e">
        <f aca="true" t="shared" si="0" ref="C3:C28">Uc(ROW())</f>
        <v>#VALUE!</v>
      </c>
      <c r="D3" s="60" t="s">
        <v>519</v>
      </c>
      <c r="E3" s="71"/>
      <c r="F3">
        <f>2240*7000</f>
        <v>15680000</v>
      </c>
      <c r="G3" s="46"/>
    </row>
    <row r="4" spans="1:7" ht="12.75">
      <c r="A4" s="70"/>
      <c r="B4" s="129" t="e">
        <f aca="true" t="shared" si="1" ref="B4:B28">Ucd()</f>
        <v>#VALUE!</v>
      </c>
      <c r="C4" s="62" t="e">
        <f t="shared" si="0"/>
        <v>#VALUE!</v>
      </c>
      <c r="D4" s="63" t="s">
        <v>526</v>
      </c>
      <c r="E4" s="71"/>
      <c r="F4">
        <f>2240*16*16</f>
        <v>573440</v>
      </c>
      <c r="G4" s="46"/>
    </row>
    <row r="5" spans="1:7" ht="12.75">
      <c r="A5" s="70"/>
      <c r="B5" s="129" t="e">
        <f t="shared" si="1"/>
        <v>#VALUE!</v>
      </c>
      <c r="C5" s="62" t="e">
        <f t="shared" si="0"/>
        <v>#VALUE!</v>
      </c>
      <c r="D5" s="63" t="s">
        <v>520</v>
      </c>
      <c r="E5" s="71"/>
      <c r="F5">
        <f>2240*16</f>
        <v>35840</v>
      </c>
      <c r="G5" s="46"/>
    </row>
    <row r="6" spans="1:7" ht="12.75">
      <c r="A6" s="70"/>
      <c r="B6" s="129" t="e">
        <f t="shared" si="1"/>
        <v>#VALUE!</v>
      </c>
      <c r="C6" s="62" t="e">
        <f t="shared" si="0"/>
        <v>#VALUE!</v>
      </c>
      <c r="D6" s="63" t="s">
        <v>523</v>
      </c>
      <c r="E6" s="71"/>
      <c r="F6">
        <v>2240</v>
      </c>
      <c r="G6" s="46"/>
    </row>
    <row r="7" spans="1:7" ht="12.75">
      <c r="A7" s="70"/>
      <c r="B7" s="129" t="e">
        <f t="shared" si="1"/>
        <v>#VALUE!</v>
      </c>
      <c r="C7" s="62" t="e">
        <f t="shared" si="0"/>
        <v>#VALUE!</v>
      </c>
      <c r="D7" s="63" t="s">
        <v>524</v>
      </c>
      <c r="E7" s="71"/>
      <c r="F7">
        <v>160</v>
      </c>
      <c r="G7" s="46"/>
    </row>
    <row r="8" spans="1:7" ht="13.5" thickBot="1">
      <c r="A8" s="70"/>
      <c r="B8" s="129" t="e">
        <f t="shared" si="1"/>
        <v>#VALUE!</v>
      </c>
      <c r="C8" s="62" t="e">
        <f t="shared" si="0"/>
        <v>#VALUE!</v>
      </c>
      <c r="D8" s="63" t="s">
        <v>529</v>
      </c>
      <c r="E8" s="71"/>
      <c r="F8">
        <v>80</v>
      </c>
      <c r="G8" s="46"/>
    </row>
    <row r="9" spans="1:7" ht="12.75">
      <c r="A9" s="70"/>
      <c r="B9" s="124" t="e">
        <f t="shared" si="1"/>
        <v>#VALUE!</v>
      </c>
      <c r="C9" s="59" t="e">
        <f t="shared" si="0"/>
        <v>#VALUE!</v>
      </c>
      <c r="D9" s="60" t="s">
        <v>593</v>
      </c>
      <c r="E9" s="71"/>
      <c r="F9">
        <v>20</v>
      </c>
      <c r="G9" s="46"/>
    </row>
    <row r="10" spans="1:7" ht="13.5" thickBot="1">
      <c r="A10" s="70"/>
      <c r="B10" s="130" t="e">
        <f t="shared" si="1"/>
        <v>#VALUE!</v>
      </c>
      <c r="C10" s="65" t="e">
        <f t="shared" si="0"/>
        <v>#VALUE!</v>
      </c>
      <c r="D10" s="66" t="s">
        <v>525</v>
      </c>
      <c r="E10" s="71"/>
      <c r="F10">
        <v>1</v>
      </c>
      <c r="G10" s="46"/>
    </row>
    <row r="11" spans="1:7" ht="13.5" thickBot="1">
      <c r="A11" s="70"/>
      <c r="B11" s="131" t="e">
        <f t="shared" si="1"/>
        <v>#VALUE!</v>
      </c>
      <c r="C11" s="73" t="e">
        <f t="shared" si="0"/>
        <v>#VALUE!</v>
      </c>
      <c r="D11" s="68" t="s">
        <v>610</v>
      </c>
      <c r="E11" s="71"/>
      <c r="F11">
        <f>2.24</f>
        <v>2.24</v>
      </c>
      <c r="G11" s="46"/>
    </row>
    <row r="12" spans="1:7" ht="13.5" thickBot="1">
      <c r="A12" s="70"/>
      <c r="B12" s="131" t="e">
        <f t="shared" si="1"/>
        <v>#VALUE!</v>
      </c>
      <c r="C12" s="73" t="e">
        <f t="shared" si="0"/>
        <v>#VALUE!</v>
      </c>
      <c r="D12" s="68" t="s">
        <v>531</v>
      </c>
      <c r="E12" s="71"/>
      <c r="F12">
        <f>2240*(980.665/2.54/12)</f>
        <v>72069.8687664042</v>
      </c>
      <c r="G12" s="46"/>
    </row>
    <row r="13" spans="1:7" ht="12.75">
      <c r="A13" s="70"/>
      <c r="B13" s="124" t="e">
        <f t="shared" si="1"/>
        <v>#VALUE!</v>
      </c>
      <c r="C13" s="59" t="e">
        <f t="shared" si="0"/>
        <v>#VALUE!</v>
      </c>
      <c r="D13" s="60" t="s">
        <v>772</v>
      </c>
      <c r="E13" s="71"/>
      <c r="F13">
        <f>2240/100</f>
        <v>22.4</v>
      </c>
      <c r="G13" s="46"/>
    </row>
    <row r="14" spans="1:7" ht="13.5" thickBot="1">
      <c r="A14" s="70"/>
      <c r="B14" s="130" t="e">
        <f t="shared" si="1"/>
        <v>#VALUE!</v>
      </c>
      <c r="C14" s="65" t="e">
        <f t="shared" si="0"/>
        <v>#VALUE!</v>
      </c>
      <c r="D14" s="66" t="s">
        <v>527</v>
      </c>
      <c r="E14" s="71"/>
      <c r="F14">
        <f>2240/2000</f>
        <v>1.12</v>
      </c>
      <c r="G14" s="46"/>
    </row>
    <row r="15" spans="1:7" ht="13.5" thickBot="1">
      <c r="A15" s="70"/>
      <c r="B15" s="131" t="e">
        <f t="shared" si="1"/>
        <v>#VALUE!</v>
      </c>
      <c r="C15" s="73" t="e">
        <f t="shared" si="0"/>
        <v>#VALUE!</v>
      </c>
      <c r="D15" s="76" t="s">
        <v>600</v>
      </c>
      <c r="E15" s="71"/>
      <c r="F15">
        <f>2240/(980.665/2.54/12)</f>
        <v>69.62132838431066</v>
      </c>
      <c r="G15" s="46"/>
    </row>
    <row r="16" spans="1:7" ht="12.75">
      <c r="A16" s="70"/>
      <c r="B16" s="124" t="e">
        <f t="shared" si="1"/>
        <v>#VALUE!</v>
      </c>
      <c r="C16" s="74" t="e">
        <f t="shared" si="0"/>
        <v>#VALUE!</v>
      </c>
      <c r="D16" s="77" t="s">
        <v>532</v>
      </c>
      <c r="E16" s="71"/>
      <c r="F16">
        <f>2240*0.45359237*9.80665*1000</f>
        <v>9964016.41818352</v>
      </c>
      <c r="G16" s="46"/>
    </row>
    <row r="17" spans="1:7" ht="12.75">
      <c r="A17" s="70"/>
      <c r="B17" s="129" t="e">
        <f t="shared" si="1"/>
        <v>#VALUE!</v>
      </c>
      <c r="C17" s="62" t="e">
        <f t="shared" si="0"/>
        <v>#VALUE!</v>
      </c>
      <c r="D17" s="78" t="s">
        <v>530</v>
      </c>
      <c r="E17" s="71"/>
      <c r="F17">
        <f>2240*0.45359237*9.80665</f>
        <v>9964.01641818352</v>
      </c>
      <c r="G17" s="46"/>
    </row>
    <row r="18" spans="1:7" ht="13.5" thickBot="1">
      <c r="A18" s="70"/>
      <c r="B18" s="130" t="e">
        <f t="shared" si="1"/>
        <v>#VALUE!</v>
      </c>
      <c r="C18" s="65" t="e">
        <f t="shared" si="0"/>
        <v>#VALUE!</v>
      </c>
      <c r="D18" s="79" t="s">
        <v>773</v>
      </c>
      <c r="E18" s="71"/>
      <c r="F18">
        <f>2.24*0.45359237*9.80665</f>
        <v>9.96401641818352</v>
      </c>
      <c r="G18" s="46"/>
    </row>
    <row r="19" spans="1:7" ht="12.75">
      <c r="A19" s="70"/>
      <c r="B19" s="129" t="e">
        <f t="shared" si="1"/>
        <v>#VALUE!</v>
      </c>
      <c r="C19" s="62" t="e">
        <f t="shared" si="0"/>
        <v>#VALUE!</v>
      </c>
      <c r="D19" s="78" t="s">
        <v>594</v>
      </c>
      <c r="E19" s="71"/>
      <c r="F19">
        <f>2240*0.45359237*1000000000</f>
        <v>1016046908800.0001</v>
      </c>
      <c r="G19" s="46"/>
    </row>
    <row r="20" spans="1:7" ht="12.75">
      <c r="A20" s="70"/>
      <c r="B20" s="129" t="e">
        <f t="shared" si="1"/>
        <v>#VALUE!</v>
      </c>
      <c r="C20" s="62" t="e">
        <f t="shared" si="0"/>
        <v>#VALUE!</v>
      </c>
      <c r="D20" s="78" t="s">
        <v>595</v>
      </c>
      <c r="E20" s="71"/>
      <c r="F20">
        <f>2240*0.45359237*1000000</f>
        <v>1016046908.8000001</v>
      </c>
      <c r="G20" s="46"/>
    </row>
    <row r="21" spans="1:7" ht="12.75">
      <c r="A21" s="70"/>
      <c r="B21" s="129" t="e">
        <f t="shared" si="1"/>
        <v>#VALUE!</v>
      </c>
      <c r="C21" s="72" t="e">
        <f t="shared" si="0"/>
        <v>#VALUE!</v>
      </c>
      <c r="D21" s="78" t="s">
        <v>596</v>
      </c>
      <c r="E21" s="71"/>
      <c r="F21">
        <f>2240*0.45359237*1000/0.2</f>
        <v>5080234.544</v>
      </c>
      <c r="G21" s="46"/>
    </row>
    <row r="22" spans="1:7" ht="12.75">
      <c r="A22" s="70"/>
      <c r="B22" s="129" t="e">
        <f t="shared" si="1"/>
        <v>#VALUE!</v>
      </c>
      <c r="C22" s="62" t="e">
        <f t="shared" si="0"/>
        <v>#VALUE!</v>
      </c>
      <c r="D22" s="78" t="s">
        <v>597</v>
      </c>
      <c r="E22" s="71"/>
      <c r="F22">
        <f>2240*0.45359237*1000</f>
        <v>1016046.9088000001</v>
      </c>
      <c r="G22" s="46"/>
    </row>
    <row r="23" spans="1:7" ht="12.75">
      <c r="A23" s="70"/>
      <c r="B23" s="129" t="e">
        <f t="shared" si="1"/>
        <v>#VALUE!</v>
      </c>
      <c r="C23" s="62" t="e">
        <f t="shared" si="0"/>
        <v>#VALUE!</v>
      </c>
      <c r="D23" s="78" t="s">
        <v>598</v>
      </c>
      <c r="E23" s="71"/>
      <c r="F23">
        <f>2240*0.45359237</f>
        <v>1016.0469088000001</v>
      </c>
      <c r="G23" s="46"/>
    </row>
    <row r="24" spans="1:7" ht="13.5" thickBot="1">
      <c r="A24" s="70"/>
      <c r="B24" s="129" t="e">
        <f t="shared" si="1"/>
        <v>#VALUE!</v>
      </c>
      <c r="C24" s="62" t="e">
        <f t="shared" si="0"/>
        <v>#VALUE!</v>
      </c>
      <c r="D24" s="78" t="s">
        <v>599</v>
      </c>
      <c r="E24" s="71"/>
      <c r="F24" s="37">
        <f>2240*0.45359237/1000</f>
        <v>1.0160469088000001</v>
      </c>
      <c r="G24" s="46"/>
    </row>
    <row r="25" spans="1:7" ht="13.5" thickBot="1">
      <c r="A25" s="70"/>
      <c r="B25" s="131" t="e">
        <f t="shared" si="1"/>
        <v>#VALUE!</v>
      </c>
      <c r="C25" s="49" t="e">
        <f t="shared" si="0"/>
        <v>#VALUE!</v>
      </c>
      <c r="D25" s="68" t="s">
        <v>533</v>
      </c>
      <c r="E25" s="71"/>
      <c r="F25">
        <f>2240*453.59237*980.665</f>
        <v>996401641.8183521</v>
      </c>
      <c r="G25" s="46"/>
    </row>
    <row r="26" spans="1:7" ht="12.75">
      <c r="A26" s="70"/>
      <c r="B26" s="129" t="e">
        <f t="shared" si="1"/>
        <v>#VALUE!</v>
      </c>
      <c r="C26" s="62" t="e">
        <f t="shared" si="0"/>
        <v>#VALUE!</v>
      </c>
      <c r="D26" s="63" t="s">
        <v>522</v>
      </c>
      <c r="E26" s="71"/>
      <c r="F26">
        <f>2240*7000/24</f>
        <v>653333.3333333334</v>
      </c>
      <c r="G26" s="46"/>
    </row>
    <row r="27" spans="1:7" ht="12.75">
      <c r="A27" s="70"/>
      <c r="B27" s="129" t="e">
        <f t="shared" si="1"/>
        <v>#VALUE!</v>
      </c>
      <c r="C27" s="62" t="e">
        <f t="shared" si="0"/>
        <v>#VALUE!</v>
      </c>
      <c r="D27" s="63" t="s">
        <v>521</v>
      </c>
      <c r="E27" s="71"/>
      <c r="F27">
        <f>2240*7000/480</f>
        <v>32666.666666666668</v>
      </c>
      <c r="G27" s="46"/>
    </row>
    <row r="28" spans="1:7" ht="13.5" thickBot="1">
      <c r="A28" s="70"/>
      <c r="B28" s="130" t="e">
        <f t="shared" si="1"/>
        <v>#VALUE!</v>
      </c>
      <c r="C28" s="65" t="e">
        <f t="shared" si="0"/>
        <v>#VALUE!</v>
      </c>
      <c r="D28" s="66" t="s">
        <v>528</v>
      </c>
      <c r="E28" s="71"/>
      <c r="F28">
        <f>2240*7000/5760</f>
        <v>2722.222222222222</v>
      </c>
      <c r="G28" s="46"/>
    </row>
    <row r="29" spans="1:5" ht="12.75">
      <c r="A29" s="11" t="str">
        <f>Terms!$A$22</f>
        <v>UnitsCalc20050823</v>
      </c>
      <c r="B29" s="70"/>
      <c r="C29" s="70"/>
      <c r="D29" s="70"/>
      <c r="E29" s="13" t="s">
        <v>206</v>
      </c>
    </row>
  </sheetData>
  <sheetProtection sheet="1" objects="1" scenarios="1"/>
  <conditionalFormatting sqref="C4:C8 C10:C28">
    <cfRule type="expression" priority="1" dxfId="0" stopIfTrue="1">
      <formula>ROW()&lt;&gt;$F$1</formula>
    </cfRule>
  </conditionalFormatting>
  <conditionalFormatting sqref="C3 C9">
    <cfRule type="expression" priority="2" dxfId="0" stopIfTrue="1">
      <formula>ROW()&lt;&gt;$F$1</formula>
    </cfRule>
  </conditionalFormatting>
  <conditionalFormatting sqref="B3:B28 D3:D28">
    <cfRule type="expression" priority="3"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11.xml><?xml version="1.0" encoding="utf-8"?>
<worksheet xmlns="http://schemas.openxmlformats.org/spreadsheetml/2006/main" xmlns:r="http://schemas.openxmlformats.org/officeDocument/2006/relationships">
  <sheetPr codeName="Sheet19">
    <pageSetUpPr fitToPage="1"/>
  </sheetPr>
  <dimension ref="A1:G39"/>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35.8515625" style="0" customWidth="1"/>
    <col min="3" max="3" width="20.7109375" style="0" customWidth="1"/>
    <col min="4" max="4" width="31.421875" style="0" customWidth="1"/>
    <col min="5" max="5" width="4.00390625" style="0" customWidth="1"/>
    <col min="6" max="6" width="12.00390625" style="0" hidden="1" customWidth="1"/>
    <col min="7" max="7" width="9.28125" style="0" hidden="1" customWidth="1"/>
  </cols>
  <sheetData>
    <row r="1" spans="1:6" ht="15" customHeight="1" thickBot="1">
      <c r="A1" s="147"/>
      <c r="B1" s="36" t="s">
        <v>9</v>
      </c>
      <c r="C1" s="36"/>
      <c r="D1" s="36"/>
      <c r="E1" s="179" t="str">
        <f>Decimals!C6</f>
        <v>F</v>
      </c>
      <c r="F1" s="165">
        <v>3</v>
      </c>
    </row>
    <row r="2" spans="1:7" ht="13.5" thickBot="1">
      <c r="A2" s="70"/>
      <c r="B2" s="150" t="s">
        <v>662</v>
      </c>
      <c r="C2" s="128">
        <v>1</v>
      </c>
      <c r="D2" s="68" t="e">
        <f>Ucorig()</f>
        <v>#VALUE!</v>
      </c>
      <c r="E2" s="71"/>
      <c r="F2" s="67">
        <v>1</v>
      </c>
      <c r="G2">
        <v>38</v>
      </c>
    </row>
    <row r="3" spans="1:7" ht="12.75">
      <c r="A3" s="70"/>
      <c r="B3" s="124" t="e">
        <f>Ucd()</f>
        <v>#VALUE!</v>
      </c>
      <c r="C3" s="74" t="e">
        <f aca="true" t="shared" si="0" ref="C3:C38">Uc(ROW())</f>
        <v>#VALUE!</v>
      </c>
      <c r="D3" s="60" t="s">
        <v>244</v>
      </c>
      <c r="E3" s="71"/>
      <c r="F3">
        <f>2240*0.45359237*9.80665/0.0254/0.0254*10</f>
        <v>154442563.3669713</v>
      </c>
      <c r="G3" s="46"/>
    </row>
    <row r="4" spans="1:7" ht="12.75">
      <c r="A4" s="70"/>
      <c r="B4" s="129" t="e">
        <f aca="true" t="shared" si="1" ref="B4:B38">Ucd()</f>
        <v>#VALUE!</v>
      </c>
      <c r="C4" s="62" t="e">
        <f t="shared" si="0"/>
        <v>#VALUE!</v>
      </c>
      <c r="D4" s="63" t="s">
        <v>493</v>
      </c>
      <c r="E4" s="71"/>
      <c r="F4">
        <f>2240*0.45359237*9.80665/0.0254/0.0254</f>
        <v>15444256.336697131</v>
      </c>
      <c r="G4" s="46"/>
    </row>
    <row r="5" spans="1:7" ht="12.75">
      <c r="A5" s="70"/>
      <c r="B5" s="129" t="e">
        <f t="shared" si="1"/>
        <v>#VALUE!</v>
      </c>
      <c r="C5" s="62" t="e">
        <f t="shared" si="0"/>
        <v>#VALUE!</v>
      </c>
      <c r="D5" s="63" t="s">
        <v>226</v>
      </c>
      <c r="E5" s="71"/>
      <c r="F5">
        <f>2240*0.45359237*9.80665/2.54/2.54</f>
        <v>1544.425633669713</v>
      </c>
      <c r="G5" s="46"/>
    </row>
    <row r="6" spans="1:7" ht="13.5" thickBot="1">
      <c r="A6" s="70"/>
      <c r="B6" s="130" t="e">
        <f t="shared" si="1"/>
        <v>#VALUE!</v>
      </c>
      <c r="C6" s="65" t="e">
        <f t="shared" si="0"/>
        <v>#VALUE!</v>
      </c>
      <c r="D6" s="66" t="s">
        <v>227</v>
      </c>
      <c r="E6" s="71"/>
      <c r="F6">
        <f>2240*0.45359237*9.80665/25.4/25.4</f>
        <v>15.444256336697132</v>
      </c>
      <c r="G6" s="46"/>
    </row>
    <row r="7" spans="1:7" ht="12.75">
      <c r="A7" s="70"/>
      <c r="B7" s="124" t="e">
        <f t="shared" si="1"/>
        <v>#VALUE!</v>
      </c>
      <c r="C7" s="59" t="e">
        <f t="shared" si="0"/>
        <v>#VALUE!</v>
      </c>
      <c r="D7" s="60" t="s">
        <v>228</v>
      </c>
      <c r="E7" s="71"/>
      <c r="F7">
        <f>2.24*0.45359237*9.80665/25.4/25.4</f>
        <v>0.015444256336697132</v>
      </c>
      <c r="G7" s="46"/>
    </row>
    <row r="8" spans="1:7" ht="12.75">
      <c r="A8" s="70"/>
      <c r="B8" s="129" t="e">
        <f t="shared" si="1"/>
        <v>#VALUE!</v>
      </c>
      <c r="C8" s="62" t="e">
        <f t="shared" si="0"/>
        <v>#VALUE!</v>
      </c>
      <c r="D8" s="63" t="s">
        <v>229</v>
      </c>
      <c r="E8" s="71"/>
      <c r="F8">
        <f>2.24*0.45359237*9.80665/2.54/2.54</f>
        <v>1.5444256336697129</v>
      </c>
      <c r="G8" s="46"/>
    </row>
    <row r="9" spans="1:7" ht="13.5" thickBot="1">
      <c r="A9" s="70"/>
      <c r="B9" s="130" t="e">
        <f t="shared" si="1"/>
        <v>#VALUE!</v>
      </c>
      <c r="C9" s="75" t="e">
        <f t="shared" si="0"/>
        <v>#VALUE!</v>
      </c>
      <c r="D9" s="66" t="s">
        <v>230</v>
      </c>
      <c r="E9" s="71"/>
      <c r="F9">
        <f>2.24*0.45359237*9.80665/0.0254/0.0254</f>
        <v>15444.256336697132</v>
      </c>
      <c r="G9" s="46"/>
    </row>
    <row r="10" spans="1:7" ht="12.75">
      <c r="A10" s="70"/>
      <c r="B10" s="129" t="e">
        <f t="shared" si="1"/>
        <v>#VALUE!</v>
      </c>
      <c r="C10" s="62" t="e">
        <f t="shared" si="0"/>
        <v>#VALUE!</v>
      </c>
      <c r="D10" s="63" t="s">
        <v>231</v>
      </c>
      <c r="E10" s="71"/>
      <c r="F10">
        <f>2240*0.45359237/25.4/25.4</f>
        <v>1.574875858391717</v>
      </c>
      <c r="G10" s="46"/>
    </row>
    <row r="11" spans="1:7" ht="12.75">
      <c r="A11" s="70"/>
      <c r="B11" s="129" t="e">
        <f t="shared" si="1"/>
        <v>#VALUE!</v>
      </c>
      <c r="C11" s="72" t="e">
        <f t="shared" si="0"/>
        <v>#VALUE!</v>
      </c>
      <c r="D11" s="63" t="s">
        <v>232</v>
      </c>
      <c r="E11" s="71"/>
      <c r="F11">
        <f>2240*0.45359237/2.54/2.54</f>
        <v>157.4875858391717</v>
      </c>
      <c r="G11" s="46"/>
    </row>
    <row r="12" spans="1:7" ht="13.5" thickBot="1">
      <c r="A12" s="70"/>
      <c r="B12" s="130" t="e">
        <f t="shared" si="1"/>
        <v>#VALUE!</v>
      </c>
      <c r="C12" s="75" t="e">
        <f t="shared" si="0"/>
        <v>#VALUE!</v>
      </c>
      <c r="D12" s="66" t="s">
        <v>233</v>
      </c>
      <c r="E12" s="71"/>
      <c r="F12">
        <f>2240*0.45359237/0.0254/0.0254</f>
        <v>1574875.8583917168</v>
      </c>
      <c r="G12" s="46"/>
    </row>
    <row r="13" spans="1:7" ht="12.75">
      <c r="A13" s="70"/>
      <c r="B13" s="129" t="e">
        <f t="shared" si="1"/>
        <v>#VALUE!</v>
      </c>
      <c r="C13" s="62" t="e">
        <f t="shared" si="0"/>
        <v>#VALUE!</v>
      </c>
      <c r="D13" s="63" t="s">
        <v>234</v>
      </c>
      <c r="E13" s="71"/>
      <c r="F13">
        <f>2.24*0.45359237/25.4/25.4</f>
        <v>0.0015748758583917172</v>
      </c>
      <c r="G13" s="46"/>
    </row>
    <row r="14" spans="1:7" ht="12.75">
      <c r="A14" s="70"/>
      <c r="B14" s="129" t="e">
        <f t="shared" si="1"/>
        <v>#VALUE!</v>
      </c>
      <c r="C14" s="72" t="e">
        <f t="shared" si="0"/>
        <v>#VALUE!</v>
      </c>
      <c r="D14" s="63" t="s">
        <v>235</v>
      </c>
      <c r="E14" s="71"/>
      <c r="F14">
        <f>2.24*0.45359237/2.54/2.54</f>
        <v>0.1574875858391717</v>
      </c>
      <c r="G14" s="46"/>
    </row>
    <row r="15" spans="1:7" ht="13.5" thickBot="1">
      <c r="A15" s="70"/>
      <c r="B15" s="130" t="e">
        <f t="shared" si="1"/>
        <v>#VALUE!</v>
      </c>
      <c r="C15" s="75" t="e">
        <f t="shared" si="0"/>
        <v>#VALUE!</v>
      </c>
      <c r="D15" s="66" t="s">
        <v>237</v>
      </c>
      <c r="E15" s="71"/>
      <c r="F15">
        <f>2.24*0.45359237/0.0254/0.0254</f>
        <v>1574.875858391717</v>
      </c>
      <c r="G15" s="46"/>
    </row>
    <row r="16" spans="1:7" ht="12.75">
      <c r="A16" s="70"/>
      <c r="B16" s="124" t="e">
        <f t="shared" si="1"/>
        <v>#VALUE!</v>
      </c>
      <c r="C16" s="59" t="e">
        <f t="shared" si="0"/>
        <v>#VALUE!</v>
      </c>
      <c r="D16" s="60" t="s">
        <v>348</v>
      </c>
      <c r="E16" s="71"/>
      <c r="F16">
        <v>2240</v>
      </c>
      <c r="G16" s="46"/>
    </row>
    <row r="17" spans="1:7" ht="12.75">
      <c r="A17" s="70"/>
      <c r="B17" s="129" t="e">
        <f t="shared" si="1"/>
        <v>#VALUE!</v>
      </c>
      <c r="C17" s="62" t="e">
        <f t="shared" si="0"/>
        <v>#VALUE!</v>
      </c>
      <c r="D17" s="63" t="s">
        <v>74</v>
      </c>
      <c r="E17" s="71"/>
      <c r="F17">
        <f>2240*12*12</f>
        <v>322560</v>
      </c>
      <c r="G17" s="46"/>
    </row>
    <row r="18" spans="1:7" ht="13.5" thickBot="1">
      <c r="A18" s="70"/>
      <c r="B18" s="130" t="e">
        <f t="shared" si="1"/>
        <v>#VALUE!</v>
      </c>
      <c r="C18" s="75" t="e">
        <f t="shared" si="0"/>
        <v>#VALUE!</v>
      </c>
      <c r="D18" s="66" t="s">
        <v>238</v>
      </c>
      <c r="E18" s="71"/>
      <c r="F18">
        <f>2240*36*36</f>
        <v>2903040</v>
      </c>
      <c r="G18" s="46"/>
    </row>
    <row r="19" spans="1:7" ht="13.5" thickBot="1">
      <c r="A19" s="70"/>
      <c r="B19" s="124" t="e">
        <f t="shared" si="1"/>
        <v>#VALUE!</v>
      </c>
      <c r="C19" s="74" t="e">
        <f t="shared" si="0"/>
        <v>#VALUE!</v>
      </c>
      <c r="D19" s="60" t="s">
        <v>239</v>
      </c>
      <c r="E19" s="71"/>
      <c r="F19">
        <f>2240*12*12*9806.65/304.8</f>
        <v>10378061.102362204</v>
      </c>
      <c r="G19" s="46"/>
    </row>
    <row r="20" spans="1:7" ht="12.75">
      <c r="A20" s="70"/>
      <c r="B20" s="124" t="e">
        <f t="shared" si="1"/>
        <v>#VALUE!</v>
      </c>
      <c r="C20" s="59" t="e">
        <f t="shared" si="0"/>
        <v>#VALUE!</v>
      </c>
      <c r="D20" s="60" t="s">
        <v>349</v>
      </c>
      <c r="E20" s="71"/>
      <c r="F20">
        <v>2.24</v>
      </c>
      <c r="G20" s="46"/>
    </row>
    <row r="21" spans="1:7" ht="12.75">
      <c r="A21" s="70"/>
      <c r="B21" s="129" t="e">
        <f t="shared" si="1"/>
        <v>#VALUE!</v>
      </c>
      <c r="C21" s="62" t="e">
        <f t="shared" si="0"/>
        <v>#VALUE!</v>
      </c>
      <c r="D21" s="63" t="s">
        <v>350</v>
      </c>
      <c r="E21" s="71"/>
      <c r="F21">
        <f>12*12*2.24</f>
        <v>322.56000000000006</v>
      </c>
      <c r="G21" s="46"/>
    </row>
    <row r="22" spans="1:7" ht="13.5" thickBot="1">
      <c r="A22" s="70"/>
      <c r="B22" s="130" t="e">
        <f t="shared" si="1"/>
        <v>#VALUE!</v>
      </c>
      <c r="C22" s="75" t="e">
        <f t="shared" si="0"/>
        <v>#VALUE!</v>
      </c>
      <c r="D22" s="66" t="s">
        <v>240</v>
      </c>
      <c r="E22" s="71"/>
      <c r="F22">
        <f>36*36*2.24</f>
        <v>2903.0400000000004</v>
      </c>
      <c r="G22" s="46"/>
    </row>
    <row r="23" spans="1:7" ht="12.75">
      <c r="A23" s="70"/>
      <c r="B23" s="124" t="e">
        <f t="shared" si="1"/>
        <v>#VALUE!</v>
      </c>
      <c r="C23" s="59" t="e">
        <f t="shared" si="0"/>
        <v>#VALUE!</v>
      </c>
      <c r="D23" s="60" t="s">
        <v>241</v>
      </c>
      <c r="E23" s="71"/>
      <c r="F23">
        <v>1</v>
      </c>
      <c r="G23" s="46"/>
    </row>
    <row r="24" spans="1:7" ht="12.75">
      <c r="A24" s="70"/>
      <c r="B24" s="129" t="e">
        <f t="shared" si="1"/>
        <v>#VALUE!</v>
      </c>
      <c r="C24" s="62" t="e">
        <f t="shared" si="0"/>
        <v>#VALUE!</v>
      </c>
      <c r="D24" s="63" t="s">
        <v>242</v>
      </c>
      <c r="E24" s="71"/>
      <c r="F24">
        <f>12*12</f>
        <v>144</v>
      </c>
      <c r="G24" s="46"/>
    </row>
    <row r="25" spans="1:7" ht="13.5" thickBot="1">
      <c r="A25" s="70"/>
      <c r="B25" s="130" t="e">
        <f t="shared" si="1"/>
        <v>#VALUE!</v>
      </c>
      <c r="C25" s="75" t="e">
        <f t="shared" si="0"/>
        <v>#VALUE!</v>
      </c>
      <c r="D25" s="66" t="s">
        <v>243</v>
      </c>
      <c r="E25" s="71"/>
      <c r="F25">
        <f>36*36</f>
        <v>1296</v>
      </c>
      <c r="G25" s="46"/>
    </row>
    <row r="26" spans="1:7" ht="13.5" thickBot="1">
      <c r="A26" s="70"/>
      <c r="B26" s="124" t="e">
        <f t="shared" si="1"/>
        <v>#VALUE!</v>
      </c>
      <c r="C26" s="74" t="e">
        <f t="shared" si="0"/>
        <v>#VALUE!</v>
      </c>
      <c r="D26" s="60" t="s">
        <v>534</v>
      </c>
      <c r="E26" s="71"/>
      <c r="F26">
        <f>2240*0.45359237*9.80665/0.0254/0.0254/101325</f>
        <v>152.42295915812613</v>
      </c>
      <c r="G26" s="46"/>
    </row>
    <row r="27" spans="1:7" ht="12.75">
      <c r="A27" s="70"/>
      <c r="B27" s="124" t="e">
        <f t="shared" si="1"/>
        <v>#VALUE!</v>
      </c>
      <c r="C27" s="59" t="e">
        <f t="shared" si="0"/>
        <v>#VALUE!</v>
      </c>
      <c r="D27" s="60" t="s">
        <v>537</v>
      </c>
      <c r="E27" s="71"/>
      <c r="F27">
        <f>2.24*0.45359237*9.80665/0.0254/0.0254*10000</f>
        <v>154442563.3669713</v>
      </c>
      <c r="G27" s="46"/>
    </row>
    <row r="28" spans="1:7" ht="12.75">
      <c r="A28" s="70"/>
      <c r="B28" s="129" t="e">
        <f t="shared" si="1"/>
        <v>#VALUE!</v>
      </c>
      <c r="C28" s="62" t="e">
        <f t="shared" si="0"/>
        <v>#VALUE!</v>
      </c>
      <c r="D28" s="63" t="s">
        <v>538</v>
      </c>
      <c r="E28" s="71"/>
      <c r="F28">
        <f>2.24*0.45359237*9.80665/0.0254/0.0254*10</f>
        <v>154442.56336697133</v>
      </c>
      <c r="G28" s="46"/>
    </row>
    <row r="29" spans="1:7" ht="13.5" thickBot="1">
      <c r="A29" s="70"/>
      <c r="B29" s="130" t="e">
        <f t="shared" si="1"/>
        <v>#VALUE!</v>
      </c>
      <c r="C29" s="65" t="e">
        <f t="shared" si="0"/>
        <v>#VALUE!</v>
      </c>
      <c r="D29" s="66" t="s">
        <v>535</v>
      </c>
      <c r="E29" s="71"/>
      <c r="F29">
        <f>2.24*0.45359237*9.80665/0.0254/0.0254/100</f>
        <v>154.4425633669713</v>
      </c>
      <c r="G29" s="46"/>
    </row>
    <row r="30" spans="1:7" ht="12.75">
      <c r="A30" s="70"/>
      <c r="B30" s="124" t="e">
        <f t="shared" si="1"/>
        <v>#VALUE!</v>
      </c>
      <c r="C30" s="59" t="e">
        <f t="shared" si="0"/>
        <v>#VALUE!</v>
      </c>
      <c r="D30" s="60" t="s">
        <v>776</v>
      </c>
      <c r="E30" s="71"/>
      <c r="F30">
        <f>2240*0.45359237/0.0254/0.0254</f>
        <v>1574875.8583917168</v>
      </c>
      <c r="G30" s="46"/>
    </row>
    <row r="31" spans="1:7" ht="12.75">
      <c r="A31" s="70"/>
      <c r="B31" s="129" t="e">
        <f t="shared" si="1"/>
        <v>#VALUE!</v>
      </c>
      <c r="C31" s="62" t="e">
        <f t="shared" si="0"/>
        <v>#VALUE!</v>
      </c>
      <c r="D31" s="63" t="s">
        <v>777</v>
      </c>
      <c r="E31" s="71"/>
      <c r="F31">
        <f>2240*0.45359237/0.0254/0.0254/10</f>
        <v>157487.5858391717</v>
      </c>
      <c r="G31" s="46"/>
    </row>
    <row r="32" spans="1:7" ht="13.5" thickBot="1">
      <c r="A32" s="70"/>
      <c r="B32" s="130" t="e">
        <f t="shared" si="1"/>
        <v>#VALUE!</v>
      </c>
      <c r="C32" s="65" t="e">
        <f t="shared" si="0"/>
        <v>#VALUE!</v>
      </c>
      <c r="D32" s="66" t="s">
        <v>542</v>
      </c>
      <c r="E32" s="71"/>
      <c r="F32">
        <f>2240*0.45359237/0.0254/0.0254/1000</f>
        <v>1574.8758583917167</v>
      </c>
      <c r="G32" s="46"/>
    </row>
    <row r="33" spans="1:7" ht="12.75">
      <c r="A33" s="70"/>
      <c r="B33" s="124" t="e">
        <f t="shared" si="1"/>
        <v>#VALUE!</v>
      </c>
      <c r="C33" s="59" t="e">
        <f t="shared" si="0"/>
        <v>#VALUE!</v>
      </c>
      <c r="D33" s="60" t="s">
        <v>539</v>
      </c>
      <c r="E33" s="71"/>
      <c r="F33">
        <f>2240*0.45359237/0.0254/0.0254/25.4</f>
        <v>62002.986550855</v>
      </c>
      <c r="G33" s="46"/>
    </row>
    <row r="34" spans="1:7" ht="12.75">
      <c r="A34" s="70"/>
      <c r="B34" s="129" t="e">
        <f t="shared" si="1"/>
        <v>#VALUE!</v>
      </c>
      <c r="C34" s="62" t="e">
        <f t="shared" si="0"/>
        <v>#VALUE!</v>
      </c>
      <c r="D34" s="63" t="s">
        <v>540</v>
      </c>
      <c r="E34" s="71"/>
      <c r="F34">
        <f>2240*0.45359237/0.0254/0.0254/25.4/12</f>
        <v>5166.915545904583</v>
      </c>
      <c r="G34" s="46"/>
    </row>
    <row r="35" spans="1:7" ht="13.5" thickBot="1">
      <c r="A35" s="70"/>
      <c r="B35" s="130" t="e">
        <f t="shared" si="1"/>
        <v>#VALUE!</v>
      </c>
      <c r="C35" s="65" t="e">
        <f t="shared" si="0"/>
        <v>#VALUE!</v>
      </c>
      <c r="D35" s="66" t="s">
        <v>541</v>
      </c>
      <c r="E35" s="71"/>
      <c r="F35">
        <f>2240*0.45359237/0.0254/0.0254/25.4/36</f>
        <v>1722.3051819681943</v>
      </c>
      <c r="G35" s="46"/>
    </row>
    <row r="36" spans="1:7" ht="12.75">
      <c r="A36" s="70"/>
      <c r="B36" s="124" t="e">
        <f t="shared" si="1"/>
        <v>#VALUE!</v>
      </c>
      <c r="C36" s="59" t="e">
        <f t="shared" si="0"/>
        <v>#VALUE!</v>
      </c>
      <c r="D36" s="60" t="s">
        <v>778</v>
      </c>
      <c r="E36" s="71"/>
      <c r="F36">
        <f>2240*0.45359237*9.80665/0.0254/0.0254/101325*760</f>
        <v>115841.44896017585</v>
      </c>
      <c r="G36" s="46"/>
    </row>
    <row r="37" spans="1:7" ht="12.75">
      <c r="A37" s="70"/>
      <c r="B37" s="129" t="e">
        <f t="shared" si="1"/>
        <v>#VALUE!</v>
      </c>
      <c r="C37" s="62" t="e">
        <f t="shared" si="0"/>
        <v>#VALUE!</v>
      </c>
      <c r="D37" s="63" t="s">
        <v>779</v>
      </c>
      <c r="E37" s="71"/>
      <c r="F37">
        <f>2240*0.45359237*9.80665/0.0254/0.0254/101325*76</f>
        <v>11584.144896017586</v>
      </c>
      <c r="G37" s="46"/>
    </row>
    <row r="38" spans="1:7" ht="13.5" thickBot="1">
      <c r="A38" s="70"/>
      <c r="B38" s="130" t="e">
        <f t="shared" si="1"/>
        <v>#VALUE!</v>
      </c>
      <c r="C38" s="65" t="e">
        <f t="shared" si="0"/>
        <v>#VALUE!</v>
      </c>
      <c r="D38" s="66" t="s">
        <v>536</v>
      </c>
      <c r="E38" s="71"/>
      <c r="F38">
        <f>2240*0.45359237*9.80665/0.0254/0.0254/101325*760/25.4</f>
        <v>4560.686966936058</v>
      </c>
      <c r="G38" s="46"/>
    </row>
    <row r="39" spans="1:5" ht="12.75">
      <c r="A39" s="11" t="str">
        <f>Terms!$A$22</f>
        <v>UnitsCalc20050823</v>
      </c>
      <c r="B39" s="70"/>
      <c r="C39" s="70"/>
      <c r="D39" s="70"/>
      <c r="E39" s="13" t="s">
        <v>206</v>
      </c>
    </row>
  </sheetData>
  <sheetProtection sheet="1" objects="1" scenarios="1"/>
  <conditionalFormatting sqref="C14:C15 C6 C11:C12 C9 C25 C18 C22">
    <cfRule type="expression" priority="1" dxfId="0" stopIfTrue="1">
      <formula>ROW()&lt;&gt;$F$1</formula>
    </cfRule>
  </conditionalFormatting>
  <conditionalFormatting sqref="C16:C17 C10 C7:C8 C13 C3:C5 C26:C38 C23:C24 C19:C21">
    <cfRule type="expression" priority="2" dxfId="0" stopIfTrue="1">
      <formula>ROW()&lt;&gt;$F$1</formula>
    </cfRule>
  </conditionalFormatting>
  <conditionalFormatting sqref="B3:B38 D3:D38">
    <cfRule type="expression" priority="3"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96" r:id="rId4"/>
  <headerFooter alignWithMargins="0">
    <oddFooter>&amp;L&amp;"Arial,Italic"&amp;8File: &amp;F Tab: &amp;A&amp;R&amp;"Arial,Italic"&amp;8Date Printed: &amp;D</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18">
    <pageSetUpPr fitToPage="1"/>
  </sheetPr>
  <dimension ref="A1:G28"/>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30.7109375" style="0" customWidth="1"/>
    <col min="3" max="3" width="18.7109375" style="0" customWidth="1"/>
    <col min="4" max="4" width="24.7109375" style="0" customWidth="1"/>
    <col min="5" max="5" width="4.00390625" style="0" customWidth="1"/>
    <col min="6" max="6" width="24.00390625" style="0" hidden="1" customWidth="1"/>
    <col min="7" max="7" width="17.00390625" style="0" hidden="1" customWidth="1"/>
  </cols>
  <sheetData>
    <row r="1" spans="1:6" ht="15" customHeight="1" thickBot="1">
      <c r="A1" s="45"/>
      <c r="B1" s="36" t="s">
        <v>10</v>
      </c>
      <c r="C1" s="36"/>
      <c r="D1" s="36"/>
      <c r="E1" s="179" t="str">
        <f>Decimals!C6</f>
        <v>F</v>
      </c>
      <c r="F1" s="67">
        <v>23</v>
      </c>
    </row>
    <row r="2" spans="1:7" ht="13.5" thickBot="1">
      <c r="A2" s="70"/>
      <c r="B2" s="150" t="s">
        <v>662</v>
      </c>
      <c r="C2" s="128">
        <v>1</v>
      </c>
      <c r="D2" s="68" t="e">
        <f>Ucorig()</f>
        <v>#VALUE!</v>
      </c>
      <c r="E2" s="71"/>
      <c r="F2" s="67">
        <v>1.01971621297793</v>
      </c>
      <c r="G2">
        <v>27</v>
      </c>
    </row>
    <row r="3" spans="1:6" ht="12.75">
      <c r="A3" s="70"/>
      <c r="B3" s="124" t="e">
        <f>Ucd()</f>
        <v>#VALUE!</v>
      </c>
      <c r="C3" s="59" t="e">
        <f aca="true" t="shared" si="0" ref="C3:C27">Uc(ROW())</f>
        <v>#VALUE!</v>
      </c>
      <c r="D3" s="60" t="s">
        <v>544</v>
      </c>
      <c r="E3" s="71"/>
      <c r="F3">
        <f>2240*0.45359237*9.80665/25.4</f>
        <v>392.28411095210714</v>
      </c>
    </row>
    <row r="4" spans="1:6" ht="12.75">
      <c r="A4" s="70"/>
      <c r="B4" s="129" t="e">
        <f aca="true" t="shared" si="1" ref="B4:B27">Ucd()</f>
        <v>#VALUE!</v>
      </c>
      <c r="C4" s="62" t="e">
        <f t="shared" si="0"/>
        <v>#VALUE!</v>
      </c>
      <c r="D4" s="63" t="s">
        <v>774</v>
      </c>
      <c r="E4" s="71"/>
      <c r="F4">
        <f>2240*0.45359237*9.80665/25.4*10</f>
        <v>3922.8411095210713</v>
      </c>
    </row>
    <row r="5" spans="1:6" ht="12.75">
      <c r="A5" s="70"/>
      <c r="B5" s="129" t="e">
        <f t="shared" si="1"/>
        <v>#VALUE!</v>
      </c>
      <c r="C5" s="62" t="e">
        <f t="shared" si="0"/>
        <v>#VALUE!</v>
      </c>
      <c r="D5" s="63" t="s">
        <v>487</v>
      </c>
      <c r="E5" s="71"/>
      <c r="F5">
        <f>2240*0.45359237*9.80665/25.4*100</f>
        <v>39228.411095210715</v>
      </c>
    </row>
    <row r="6" spans="1:6" ht="13.5" thickBot="1">
      <c r="A6" s="70"/>
      <c r="B6" s="130" t="e">
        <f t="shared" si="1"/>
        <v>#VALUE!</v>
      </c>
      <c r="C6" s="75" t="e">
        <f t="shared" si="0"/>
        <v>#VALUE!</v>
      </c>
      <c r="D6" s="66" t="s">
        <v>543</v>
      </c>
      <c r="E6" s="71"/>
      <c r="F6">
        <f>2240*0.45359237*9.80665/25.4*1000</f>
        <v>392284.1109521071</v>
      </c>
    </row>
    <row r="7" spans="1:6" ht="12.75">
      <c r="A7" s="70"/>
      <c r="B7" s="124" t="e">
        <f t="shared" si="1"/>
        <v>#VALUE!</v>
      </c>
      <c r="C7" s="59" t="e">
        <f t="shared" si="0"/>
        <v>#VALUE!</v>
      </c>
      <c r="D7" s="60" t="s">
        <v>546</v>
      </c>
      <c r="E7" s="71"/>
      <c r="F7">
        <f>2240*0.45359237*9.80665/25.4/1000</f>
        <v>0.39228411095210713</v>
      </c>
    </row>
    <row r="8" spans="1:6" ht="12.75">
      <c r="A8" s="70"/>
      <c r="B8" s="129" t="e">
        <f t="shared" si="1"/>
        <v>#VALUE!</v>
      </c>
      <c r="C8" s="62" t="e">
        <f t="shared" si="0"/>
        <v>#VALUE!</v>
      </c>
      <c r="D8" s="63" t="s">
        <v>547</v>
      </c>
      <c r="E8" s="71"/>
      <c r="F8">
        <f>2240*0.45359237*9.80665/25.4/100</f>
        <v>3.9228411095210713</v>
      </c>
    </row>
    <row r="9" spans="1:6" ht="12.75">
      <c r="A9" s="70"/>
      <c r="B9" s="129" t="e">
        <f t="shared" si="1"/>
        <v>#VALUE!</v>
      </c>
      <c r="C9" s="62" t="e">
        <f t="shared" si="0"/>
        <v>#VALUE!</v>
      </c>
      <c r="D9" s="63" t="s">
        <v>488</v>
      </c>
      <c r="E9" s="71"/>
      <c r="F9">
        <f>2240*0.45359237*9.80665/25.4/10</f>
        <v>39.22841109521072</v>
      </c>
    </row>
    <row r="10" spans="1:6" ht="13.5" thickBot="1">
      <c r="A10" s="70"/>
      <c r="B10" s="130" t="e">
        <f t="shared" si="1"/>
        <v>#VALUE!</v>
      </c>
      <c r="C10" s="75" t="e">
        <f t="shared" si="0"/>
        <v>#VALUE!</v>
      </c>
      <c r="D10" s="66" t="s">
        <v>545</v>
      </c>
      <c r="E10" s="71"/>
      <c r="F10">
        <f>2240*0.45359237*9.80665/25.4</f>
        <v>392.28411095210714</v>
      </c>
    </row>
    <row r="11" spans="1:6" ht="12.75">
      <c r="A11" s="70"/>
      <c r="B11" s="124" t="e">
        <f t="shared" si="1"/>
        <v>#VALUE!</v>
      </c>
      <c r="C11" s="59" t="e">
        <f t="shared" si="0"/>
        <v>#VALUE!</v>
      </c>
      <c r="D11" s="60" t="s">
        <v>550</v>
      </c>
      <c r="E11" s="71"/>
      <c r="F11">
        <f>2240*0.45359237/25.4</f>
        <v>40.00184680314961</v>
      </c>
    </row>
    <row r="12" spans="1:6" ht="12.75">
      <c r="A12" s="70"/>
      <c r="B12" s="129" t="e">
        <f t="shared" si="1"/>
        <v>#VALUE!</v>
      </c>
      <c r="C12" s="62" t="e">
        <f t="shared" si="0"/>
        <v>#VALUE!</v>
      </c>
      <c r="D12" s="63" t="s">
        <v>549</v>
      </c>
      <c r="E12" s="71"/>
      <c r="F12">
        <f>2240*0.45359237/25.4*10</f>
        <v>400.0184680314961</v>
      </c>
    </row>
    <row r="13" spans="1:6" ht="12.75">
      <c r="A13" s="70"/>
      <c r="B13" s="129" t="e">
        <f t="shared" si="1"/>
        <v>#VALUE!</v>
      </c>
      <c r="C13" s="62" t="e">
        <f t="shared" si="0"/>
        <v>#VALUE!</v>
      </c>
      <c r="D13" s="63" t="s">
        <v>489</v>
      </c>
      <c r="E13" s="71"/>
      <c r="F13">
        <f>2240*0.45359237/25.4*100</f>
        <v>4000.184680314961</v>
      </c>
    </row>
    <row r="14" spans="1:6" ht="13.5" thickBot="1">
      <c r="A14" s="70"/>
      <c r="B14" s="130" t="e">
        <f t="shared" si="1"/>
        <v>#VALUE!</v>
      </c>
      <c r="C14" s="75" t="e">
        <f t="shared" si="0"/>
        <v>#VALUE!</v>
      </c>
      <c r="D14" s="66" t="s">
        <v>548</v>
      </c>
      <c r="E14" s="71"/>
      <c r="F14">
        <f>2240*0.45359237/25.4*1000</f>
        <v>40001.84680314961</v>
      </c>
    </row>
    <row r="15" spans="1:6" ht="12.75">
      <c r="A15" s="70"/>
      <c r="B15" s="124" t="e">
        <f t="shared" si="1"/>
        <v>#VALUE!</v>
      </c>
      <c r="C15" s="59" t="e">
        <f t="shared" si="0"/>
        <v>#VALUE!</v>
      </c>
      <c r="D15" s="60" t="s">
        <v>552</v>
      </c>
      <c r="E15" s="71"/>
      <c r="F15">
        <f>2240*0.45359237/25.4/1000</f>
        <v>0.04000184680314961</v>
      </c>
    </row>
    <row r="16" spans="1:6" ht="12.75">
      <c r="A16" s="70"/>
      <c r="B16" s="129" t="e">
        <f t="shared" si="1"/>
        <v>#VALUE!</v>
      </c>
      <c r="C16" s="62" t="e">
        <f t="shared" si="0"/>
        <v>#VALUE!</v>
      </c>
      <c r="D16" s="63" t="s">
        <v>554</v>
      </c>
      <c r="E16" s="71"/>
      <c r="F16">
        <f>2240*0.45359237/25.4/100</f>
        <v>0.4000184680314961</v>
      </c>
    </row>
    <row r="17" spans="1:6" ht="12.75">
      <c r="A17" s="70"/>
      <c r="B17" s="129" t="e">
        <f t="shared" si="1"/>
        <v>#VALUE!</v>
      </c>
      <c r="C17" s="62" t="e">
        <f t="shared" si="0"/>
        <v>#VALUE!</v>
      </c>
      <c r="D17" s="63" t="s">
        <v>490</v>
      </c>
      <c r="E17" s="71"/>
      <c r="F17">
        <f>2240*0.45359237/25.4/10</f>
        <v>4.000184680314961</v>
      </c>
    </row>
    <row r="18" spans="1:6" ht="13.5" thickBot="1">
      <c r="A18" s="70"/>
      <c r="B18" s="130" t="e">
        <f t="shared" si="1"/>
        <v>#VALUE!</v>
      </c>
      <c r="C18" s="75" t="e">
        <f t="shared" si="0"/>
        <v>#VALUE!</v>
      </c>
      <c r="D18" s="66" t="s">
        <v>553</v>
      </c>
      <c r="E18" s="71"/>
      <c r="F18">
        <f>2240*0.45359237/25.4</f>
        <v>40.00184680314961</v>
      </c>
    </row>
    <row r="19" spans="1:6" ht="12.75">
      <c r="A19" s="70"/>
      <c r="B19" s="124" t="e">
        <f t="shared" si="1"/>
        <v>#VALUE!</v>
      </c>
      <c r="C19" s="59" t="e">
        <f t="shared" si="0"/>
        <v>#VALUE!</v>
      </c>
      <c r="D19" s="60" t="s">
        <v>557</v>
      </c>
      <c r="E19" s="71"/>
      <c r="F19">
        <v>2240</v>
      </c>
    </row>
    <row r="20" spans="1:6" ht="12.75">
      <c r="A20" s="70"/>
      <c r="B20" s="129" t="e">
        <f t="shared" si="1"/>
        <v>#VALUE!</v>
      </c>
      <c r="C20" s="62" t="e">
        <f t="shared" si="0"/>
        <v>#VALUE!</v>
      </c>
      <c r="D20" s="63" t="s">
        <v>556</v>
      </c>
      <c r="E20" s="71"/>
      <c r="F20">
        <f>2240*12</f>
        <v>26880</v>
      </c>
    </row>
    <row r="21" spans="1:6" ht="13.5" thickBot="1">
      <c r="A21" s="70"/>
      <c r="B21" s="130" t="e">
        <f t="shared" si="1"/>
        <v>#VALUE!</v>
      </c>
      <c r="C21" s="75" t="e">
        <f t="shared" si="0"/>
        <v>#VALUE!</v>
      </c>
      <c r="D21" s="66" t="s">
        <v>555</v>
      </c>
      <c r="E21" s="71"/>
      <c r="F21">
        <f>2240*36</f>
        <v>80640</v>
      </c>
    </row>
    <row r="22" spans="1:6" ht="12.75">
      <c r="A22" s="70"/>
      <c r="B22" s="129" t="e">
        <f t="shared" si="1"/>
        <v>#VALUE!</v>
      </c>
      <c r="C22" s="72" t="e">
        <f t="shared" si="0"/>
        <v>#VALUE!</v>
      </c>
      <c r="D22" s="63" t="s">
        <v>679</v>
      </c>
      <c r="E22" s="71"/>
      <c r="F22">
        <v>2.24</v>
      </c>
    </row>
    <row r="23" spans="1:6" ht="12.75">
      <c r="A23" s="70"/>
      <c r="B23" s="129" t="e">
        <f t="shared" si="1"/>
        <v>#VALUE!</v>
      </c>
      <c r="C23" s="72" t="e">
        <f t="shared" si="0"/>
        <v>#VALUE!</v>
      </c>
      <c r="D23" s="63" t="s">
        <v>680</v>
      </c>
      <c r="E23" s="71"/>
      <c r="F23">
        <f>2.24*12</f>
        <v>26.880000000000003</v>
      </c>
    </row>
    <row r="24" spans="1:6" ht="13.5" thickBot="1">
      <c r="A24" s="70"/>
      <c r="B24" s="130" t="e">
        <f t="shared" si="1"/>
        <v>#VALUE!</v>
      </c>
      <c r="C24" s="65" t="e">
        <f t="shared" si="0"/>
        <v>#VALUE!</v>
      </c>
      <c r="D24" s="66" t="s">
        <v>681</v>
      </c>
      <c r="E24" s="71"/>
      <c r="F24">
        <f>2.24*36</f>
        <v>80.64000000000001</v>
      </c>
    </row>
    <row r="25" spans="1:6" ht="12.75">
      <c r="A25" s="70"/>
      <c r="B25" s="129" t="e">
        <f t="shared" si="1"/>
        <v>#VALUE!</v>
      </c>
      <c r="C25" s="72" t="e">
        <f t="shared" si="0"/>
        <v>#VALUE!</v>
      </c>
      <c r="D25" s="63" t="s">
        <v>560</v>
      </c>
      <c r="E25" s="71"/>
      <c r="F25">
        <v>1</v>
      </c>
    </row>
    <row r="26" spans="1:6" ht="12.75">
      <c r="A26" s="70"/>
      <c r="B26" s="129" t="e">
        <f t="shared" si="1"/>
        <v>#VALUE!</v>
      </c>
      <c r="C26" s="72" t="e">
        <f t="shared" si="0"/>
        <v>#VALUE!</v>
      </c>
      <c r="D26" s="63" t="s">
        <v>559</v>
      </c>
      <c r="E26" s="71"/>
      <c r="F26">
        <v>12</v>
      </c>
    </row>
    <row r="27" spans="1:6" ht="13.5" thickBot="1">
      <c r="A27" s="70"/>
      <c r="B27" s="130" t="e">
        <f t="shared" si="1"/>
        <v>#VALUE!</v>
      </c>
      <c r="C27" s="65" t="e">
        <f t="shared" si="0"/>
        <v>#VALUE!</v>
      </c>
      <c r="D27" s="66" t="s">
        <v>558</v>
      </c>
      <c r="E27" s="71"/>
      <c r="F27">
        <v>36</v>
      </c>
    </row>
    <row r="28" spans="1:5" ht="12.75">
      <c r="A28" s="11" t="str">
        <f>Terms!$A$22</f>
        <v>UnitsCalc20050823</v>
      </c>
      <c r="B28" s="70"/>
      <c r="C28" s="70"/>
      <c r="D28" s="70"/>
      <c r="E28" s="13" t="s">
        <v>206</v>
      </c>
    </row>
  </sheetData>
  <sheetProtection sheet="1" objects="1" scenarios="1"/>
  <conditionalFormatting sqref="C6 C10 C14 C18 C21:C27">
    <cfRule type="expression" priority="1" dxfId="0" stopIfTrue="1">
      <formula>ROW()&lt;&gt;$F$1</formula>
    </cfRule>
  </conditionalFormatting>
  <conditionalFormatting sqref="C19:C20 C3:C5 C7:C9 C11:C13 C15:C17">
    <cfRule type="expression" priority="2" dxfId="0" stopIfTrue="1">
      <formula>ROW()&lt;&gt;$F$1</formula>
    </cfRule>
  </conditionalFormatting>
  <conditionalFormatting sqref="B3:B27 D3:D27">
    <cfRule type="expression" priority="3"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13.xml><?xml version="1.0" encoding="utf-8"?>
<worksheet xmlns="http://schemas.openxmlformats.org/spreadsheetml/2006/main" xmlns:r="http://schemas.openxmlformats.org/officeDocument/2006/relationships">
  <sheetPr codeName="Sheet26">
    <pageSetUpPr fitToPage="1"/>
  </sheetPr>
  <dimension ref="A1:G6"/>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25.7109375" style="0" customWidth="1"/>
    <col min="3" max="3" width="18.7109375" style="0" customWidth="1"/>
    <col min="4" max="4" width="23.7109375" style="0" customWidth="1"/>
    <col min="5" max="5" width="3.140625" style="0" customWidth="1"/>
    <col min="6" max="6" width="13.00390625" style="0" hidden="1" customWidth="1"/>
    <col min="7" max="7" width="9.28125" style="0" hidden="1" customWidth="1"/>
  </cols>
  <sheetData>
    <row r="1" spans="1:6" ht="15" customHeight="1" thickBot="1">
      <c r="A1" s="147"/>
      <c r="B1" s="36" t="s">
        <v>695</v>
      </c>
      <c r="C1" s="36"/>
      <c r="D1" s="36"/>
      <c r="E1" s="179" t="str">
        <f>Decimals!C6</f>
        <v>F</v>
      </c>
      <c r="F1" s="67">
        <v>3</v>
      </c>
    </row>
    <row r="2" spans="1:7" ht="13.5" thickBot="1">
      <c r="A2" s="70"/>
      <c r="B2" s="150" t="s">
        <v>662</v>
      </c>
      <c r="C2" s="128">
        <v>1</v>
      </c>
      <c r="D2" s="68" t="e">
        <f>Ucorig()</f>
        <v>#VALUE!</v>
      </c>
      <c r="E2" s="82"/>
      <c r="F2" s="67">
        <v>1</v>
      </c>
      <c r="G2">
        <v>5</v>
      </c>
    </row>
    <row r="3" spans="1:6" ht="12.75">
      <c r="A3" s="70"/>
      <c r="B3" s="124" t="e">
        <f>Ucd()</f>
        <v>#VALUE!</v>
      </c>
      <c r="C3" s="59" t="e">
        <f>Uc(ROW())</f>
        <v>#VALUE!</v>
      </c>
      <c r="D3" s="60" t="s">
        <v>692</v>
      </c>
      <c r="E3" s="71"/>
      <c r="F3">
        <v>1</v>
      </c>
    </row>
    <row r="4" spans="1:6" ht="12.75">
      <c r="A4" s="70"/>
      <c r="B4" s="129" t="e">
        <f>Ucd()</f>
        <v>#VALUE!</v>
      </c>
      <c r="C4" s="62" t="e">
        <f>Uc(ROW())</f>
        <v>#VALUE!</v>
      </c>
      <c r="D4" s="63" t="s">
        <v>693</v>
      </c>
      <c r="E4" s="71"/>
      <c r="F4">
        <f>1/0.3048^2</f>
        <v>10.763910416709722</v>
      </c>
    </row>
    <row r="5" spans="1:6" ht="13.5" thickBot="1">
      <c r="A5" s="70"/>
      <c r="B5" s="130" t="e">
        <f>Ucd()</f>
        <v>#VALUE!</v>
      </c>
      <c r="C5" s="65" t="e">
        <f>Uc(ROW())</f>
        <v>#VALUE!</v>
      </c>
      <c r="D5" s="66" t="s">
        <v>12</v>
      </c>
      <c r="E5" s="71"/>
      <c r="F5">
        <f>1/0.3048^2</f>
        <v>10.763910416709722</v>
      </c>
    </row>
    <row r="6" spans="1:5" ht="12.75">
      <c r="A6" s="11" t="str">
        <f>Terms!$A$22</f>
        <v>UnitsCalc20050823</v>
      </c>
      <c r="B6" s="70"/>
      <c r="C6" s="70"/>
      <c r="D6" s="70"/>
      <c r="E6" s="13" t="s">
        <v>206</v>
      </c>
    </row>
  </sheetData>
  <sheetProtection sheet="1" objects="1" scenarios="1"/>
  <conditionalFormatting sqref="C3:C5">
    <cfRule type="expression" priority="1" dxfId="0" stopIfTrue="1">
      <formula>ROW()&lt;&gt;$F$1</formula>
    </cfRule>
  </conditionalFormatting>
  <conditionalFormatting sqref="B3:B5 D3:D5">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9">
    <pageSetUpPr fitToPage="1"/>
  </sheetPr>
  <dimension ref="A1:G14"/>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6.140625" style="0" customWidth="1"/>
    <col min="2" max="2" width="30.7109375" style="0" customWidth="1"/>
    <col min="3" max="3" width="18.7109375" style="0" customWidth="1"/>
    <col min="4" max="4" width="22.57421875" style="0" customWidth="1"/>
    <col min="5" max="5" width="3.7109375" style="0" customWidth="1"/>
    <col min="6" max="6" width="13.57421875" style="0" hidden="1" customWidth="1"/>
    <col min="7" max="7" width="5.00390625" style="0" hidden="1" customWidth="1"/>
  </cols>
  <sheetData>
    <row r="1" spans="1:6" ht="15" customHeight="1" thickBot="1">
      <c r="A1" s="147"/>
      <c r="B1" s="36" t="s">
        <v>301</v>
      </c>
      <c r="C1" s="36"/>
      <c r="D1" s="36"/>
      <c r="E1" s="179" t="str">
        <f>Decimals!C6</f>
        <v>F</v>
      </c>
      <c r="F1" s="67">
        <v>3</v>
      </c>
    </row>
    <row r="2" spans="1:7" ht="13.5" thickBot="1">
      <c r="A2" s="70"/>
      <c r="B2" s="150" t="s">
        <v>662</v>
      </c>
      <c r="C2" s="128">
        <v>1</v>
      </c>
      <c r="D2" s="68" t="e">
        <f>Ucorig()</f>
        <v>#VALUE!</v>
      </c>
      <c r="E2" s="71"/>
      <c r="F2" s="67">
        <v>0.011586176745895207</v>
      </c>
      <c r="G2">
        <v>13</v>
      </c>
    </row>
    <row r="3" spans="1:6" ht="12.75">
      <c r="A3" s="70"/>
      <c r="B3" s="129" t="e">
        <f>Ucd()</f>
        <v>#VALUE!</v>
      </c>
      <c r="C3" s="62" t="e">
        <f aca="true" t="shared" si="0" ref="C3:C13">Uc(ROW())</f>
        <v>#VALUE!</v>
      </c>
      <c r="D3" s="63" t="s">
        <v>759</v>
      </c>
      <c r="E3" s="71"/>
      <c r="F3">
        <f>(63360*25.4)^4</f>
        <v>6.708038411681844E+24</v>
      </c>
    </row>
    <row r="4" spans="1:6" ht="12.75">
      <c r="A4" s="70"/>
      <c r="B4" s="129" t="e">
        <f aca="true" t="shared" si="1" ref="B4:B13">Ucd()</f>
        <v>#VALUE!</v>
      </c>
      <c r="C4" s="62" t="e">
        <f t="shared" si="0"/>
        <v>#VALUE!</v>
      </c>
      <c r="D4" s="63" t="s">
        <v>760</v>
      </c>
      <c r="E4" s="71"/>
      <c r="F4">
        <f>(63360*25.4/10)^4</f>
        <v>6.708038411681842E+20</v>
      </c>
    </row>
    <row r="5" spans="1:6" ht="12.75">
      <c r="A5" s="70"/>
      <c r="B5" s="129" t="e">
        <f t="shared" si="1"/>
        <v>#VALUE!</v>
      </c>
      <c r="C5" s="62" t="e">
        <f t="shared" si="0"/>
        <v>#VALUE!</v>
      </c>
      <c r="D5" s="63" t="s">
        <v>761</v>
      </c>
      <c r="E5" s="71"/>
      <c r="F5">
        <f>(63360*25.4/100)^4</f>
        <v>67080384116818440</v>
      </c>
    </row>
    <row r="6" spans="1:6" ht="12.75">
      <c r="A6" s="70"/>
      <c r="B6" s="129" t="e">
        <f t="shared" si="1"/>
        <v>#VALUE!</v>
      </c>
      <c r="C6" s="62" t="e">
        <f t="shared" si="0"/>
        <v>#VALUE!</v>
      </c>
      <c r="D6" s="63" t="s">
        <v>762</v>
      </c>
      <c r="E6" s="71"/>
      <c r="F6">
        <f>(63360*25.4/1000)^4</f>
        <v>6708038411681.845</v>
      </c>
    </row>
    <row r="7" spans="1:6" ht="12.75">
      <c r="A7" s="70"/>
      <c r="B7" s="129" t="e">
        <f t="shared" si="1"/>
        <v>#VALUE!</v>
      </c>
      <c r="C7" s="62" t="e">
        <f t="shared" si="0"/>
        <v>#VALUE!</v>
      </c>
      <c r="D7" s="63" t="s">
        <v>763</v>
      </c>
      <c r="E7" s="71"/>
      <c r="F7">
        <f>(63360*25.4/100000)^4</f>
        <v>67080.38411681844</v>
      </c>
    </row>
    <row r="8" spans="1:6" ht="13.5" thickBot="1">
      <c r="A8" s="70"/>
      <c r="B8" s="130" t="e">
        <f t="shared" si="1"/>
        <v>#VALUE!</v>
      </c>
      <c r="C8" s="65" t="e">
        <f t="shared" si="0"/>
        <v>#VALUE!</v>
      </c>
      <c r="D8" s="66" t="s">
        <v>764</v>
      </c>
      <c r="E8" s="71"/>
      <c r="F8">
        <f>(63360*25.4/1000000)^4</f>
        <v>6.708038411681845</v>
      </c>
    </row>
    <row r="9" spans="1:6" ht="12.75">
      <c r="A9" s="70"/>
      <c r="B9" s="129" t="e">
        <f t="shared" si="1"/>
        <v>#VALUE!</v>
      </c>
      <c r="C9" s="62" t="e">
        <f t="shared" si="0"/>
        <v>#VALUE!</v>
      </c>
      <c r="D9" s="63" t="s">
        <v>765</v>
      </c>
      <c r="E9" s="71"/>
      <c r="F9">
        <f>63360^4</f>
        <v>1.611612674850816E+19</v>
      </c>
    </row>
    <row r="10" spans="1:6" ht="12.75">
      <c r="A10" s="70"/>
      <c r="B10" s="129" t="e">
        <f t="shared" si="1"/>
        <v>#VALUE!</v>
      </c>
      <c r="C10" s="62" t="e">
        <f t="shared" si="0"/>
        <v>#VALUE!</v>
      </c>
      <c r="D10" s="63" t="s">
        <v>766</v>
      </c>
      <c r="E10" s="71"/>
      <c r="F10">
        <f>5280^4</f>
        <v>777205186560000</v>
      </c>
    </row>
    <row r="11" spans="1:6" ht="12.75">
      <c r="A11" s="70"/>
      <c r="B11" s="129" t="e">
        <f t="shared" si="1"/>
        <v>#VALUE!</v>
      </c>
      <c r="C11" s="62" t="e">
        <f t="shared" si="0"/>
        <v>#VALUE!</v>
      </c>
      <c r="D11" s="63" t="s">
        <v>767</v>
      </c>
      <c r="E11" s="71"/>
      <c r="F11">
        <f>1760^4</f>
        <v>9595125760000</v>
      </c>
    </row>
    <row r="12" spans="1:6" ht="12.75">
      <c r="A12" s="70"/>
      <c r="B12" s="129" t="e">
        <f t="shared" si="1"/>
        <v>#VALUE!</v>
      </c>
      <c r="C12" s="62" t="e">
        <f t="shared" si="0"/>
        <v>#VALUE!</v>
      </c>
      <c r="D12" s="63" t="s">
        <v>768</v>
      </c>
      <c r="E12" s="71"/>
      <c r="F12">
        <f>8^4</f>
        <v>4096</v>
      </c>
    </row>
    <row r="13" spans="1:6" ht="13.5" thickBot="1">
      <c r="A13" s="70"/>
      <c r="B13" s="130" t="e">
        <f t="shared" si="1"/>
        <v>#VALUE!</v>
      </c>
      <c r="C13" s="65" t="e">
        <f t="shared" si="0"/>
        <v>#VALUE!</v>
      </c>
      <c r="D13" s="66" t="s">
        <v>769</v>
      </c>
      <c r="E13" s="71"/>
      <c r="F13">
        <v>1</v>
      </c>
    </row>
    <row r="14" spans="1:5" ht="12.75">
      <c r="A14" s="11" t="str">
        <f>Terms!$A$22</f>
        <v>UnitsCalc20050823</v>
      </c>
      <c r="B14" s="70"/>
      <c r="C14" s="70"/>
      <c r="D14" s="70"/>
      <c r="E14" s="13" t="s">
        <v>206</v>
      </c>
    </row>
  </sheetData>
  <sheetProtection sheet="1" objects="1" scenarios="1"/>
  <conditionalFormatting sqref="C3:C13">
    <cfRule type="expression" priority="1" dxfId="0" stopIfTrue="1">
      <formula>ROW()&lt;&gt;$F$1</formula>
    </cfRule>
  </conditionalFormatting>
  <conditionalFormatting sqref="B3:B13 D3:D13">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15.xml><?xml version="1.0" encoding="utf-8"?>
<worksheet xmlns="http://schemas.openxmlformats.org/spreadsheetml/2006/main" xmlns:r="http://schemas.openxmlformats.org/officeDocument/2006/relationships">
  <sheetPr codeName="Sheet23">
    <pageSetUpPr fitToPage="1"/>
  </sheetPr>
  <dimension ref="A1:G19"/>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30.7109375" style="0" customWidth="1"/>
    <col min="3" max="3" width="18.7109375" style="0" customWidth="1"/>
    <col min="4" max="4" width="30.7109375" style="0" customWidth="1"/>
    <col min="5" max="5" width="5.8515625" style="0" customWidth="1"/>
    <col min="6" max="6" width="12.00390625" style="0" hidden="1" customWidth="1"/>
    <col min="7" max="7" width="4.8515625" style="0" hidden="1" customWidth="1"/>
  </cols>
  <sheetData>
    <row r="1" spans="1:7" ht="15" customHeight="1" thickBot="1">
      <c r="A1" s="147"/>
      <c r="B1" s="36" t="s">
        <v>137</v>
      </c>
      <c r="C1" s="36"/>
      <c r="D1" s="36"/>
      <c r="E1" s="179" t="str">
        <f>Decimals!C6</f>
        <v>F</v>
      </c>
      <c r="F1" s="67">
        <v>3</v>
      </c>
      <c r="G1" s="46"/>
    </row>
    <row r="2" spans="1:7" ht="13.5" thickBot="1">
      <c r="A2" s="70"/>
      <c r="B2" s="150" t="s">
        <v>662</v>
      </c>
      <c r="C2" s="128">
        <v>1</v>
      </c>
      <c r="D2" s="68" t="e">
        <f>Ucorig()</f>
        <v>#VALUE!</v>
      </c>
      <c r="E2" s="71"/>
      <c r="F2" s="67">
        <v>0.00128506241193051</v>
      </c>
      <c r="G2" s="46">
        <v>18</v>
      </c>
    </row>
    <row r="3" spans="1:7" ht="12.75">
      <c r="A3" s="70"/>
      <c r="B3" s="124" t="e">
        <f>Ucd()</f>
        <v>#VALUE!</v>
      </c>
      <c r="C3" s="74" t="e">
        <f aca="true" t="shared" si="0" ref="C3:C18">Uc(ROW())</f>
        <v>#VALUE!</v>
      </c>
      <c r="D3" s="60" t="s">
        <v>645</v>
      </c>
      <c r="E3" s="71"/>
      <c r="F3">
        <f>1000000/4.1868</f>
        <v>238845.89662749594</v>
      </c>
      <c r="G3" s="46"/>
    </row>
    <row r="4" spans="1:7" ht="13.5" thickBot="1">
      <c r="A4" s="70"/>
      <c r="B4" s="130" t="e">
        <f aca="true" t="shared" si="1" ref="B4:B18">Ucd()</f>
        <v>#VALUE!</v>
      </c>
      <c r="C4" s="75" t="e">
        <f t="shared" si="0"/>
        <v>#VALUE!</v>
      </c>
      <c r="D4" s="66" t="s">
        <v>665</v>
      </c>
      <c r="E4" s="71"/>
      <c r="F4">
        <f>1000/4.1868*60*60</f>
        <v>859845.2278589854</v>
      </c>
      <c r="G4" s="46"/>
    </row>
    <row r="5" spans="1:7" ht="12.75">
      <c r="A5" s="70"/>
      <c r="B5" s="124" t="e">
        <f t="shared" si="1"/>
        <v>#VALUE!</v>
      </c>
      <c r="C5" s="59" t="e">
        <f t="shared" si="0"/>
        <v>#VALUE!</v>
      </c>
      <c r="D5" s="60" t="s">
        <v>123</v>
      </c>
      <c r="E5" s="71"/>
      <c r="F5">
        <f>1000000/0.45359237/9.80665/0.3048*60</f>
        <v>44253728.956635915</v>
      </c>
      <c r="G5" s="46"/>
    </row>
    <row r="6" spans="1:7" ht="13.5" thickBot="1">
      <c r="A6" s="70"/>
      <c r="B6" s="130" t="e">
        <f t="shared" si="1"/>
        <v>#VALUE!</v>
      </c>
      <c r="C6" s="65" t="e">
        <f t="shared" si="0"/>
        <v>#VALUE!</v>
      </c>
      <c r="D6" s="66" t="s">
        <v>124</v>
      </c>
      <c r="E6" s="71"/>
      <c r="F6">
        <f>1000000/0.45359237/9.80665/0.3048</f>
        <v>737562.1492772653</v>
      </c>
      <c r="G6" s="46"/>
    </row>
    <row r="7" spans="1:7" ht="13.5" thickBot="1">
      <c r="A7" s="70"/>
      <c r="B7" s="124" t="e">
        <f t="shared" si="1"/>
        <v>#VALUE!</v>
      </c>
      <c r="C7" s="59" t="e">
        <f t="shared" si="0"/>
        <v>#VALUE!</v>
      </c>
      <c r="D7" s="60" t="s">
        <v>127</v>
      </c>
      <c r="E7" s="71"/>
      <c r="F7">
        <f>1000000/1055.06*60*60/1.8</f>
        <v>1895626.788997782</v>
      </c>
      <c r="G7" s="46"/>
    </row>
    <row r="8" spans="1:7" ht="12.75">
      <c r="A8" s="70"/>
      <c r="B8" s="124" t="e">
        <f t="shared" si="1"/>
        <v>#VALUE!</v>
      </c>
      <c r="C8" s="59" t="e">
        <f t="shared" si="0"/>
        <v>#VALUE!</v>
      </c>
      <c r="D8" s="60" t="s">
        <v>128</v>
      </c>
      <c r="E8" s="71"/>
      <c r="F8">
        <f>1000000/1055.06*60*60</f>
        <v>3412128.2201960078</v>
      </c>
      <c r="G8" s="46"/>
    </row>
    <row r="9" spans="1:7" ht="12.75">
      <c r="A9" s="70"/>
      <c r="B9" s="129" t="e">
        <f t="shared" si="1"/>
        <v>#VALUE!</v>
      </c>
      <c r="C9" s="62" t="e">
        <f t="shared" si="0"/>
        <v>#VALUE!</v>
      </c>
      <c r="D9" s="63" t="s">
        <v>129</v>
      </c>
      <c r="E9" s="71"/>
      <c r="F9">
        <f>1000000/1055.06*60</f>
        <v>56868.80366993346</v>
      </c>
      <c r="G9" s="46"/>
    </row>
    <row r="10" spans="1:7" ht="13.5" thickBot="1">
      <c r="A10" s="70"/>
      <c r="B10" s="130" t="e">
        <f t="shared" si="1"/>
        <v>#VALUE!</v>
      </c>
      <c r="C10" s="65" t="e">
        <f t="shared" si="0"/>
        <v>#VALUE!</v>
      </c>
      <c r="D10" s="66" t="s">
        <v>130</v>
      </c>
      <c r="E10" s="71"/>
      <c r="F10">
        <f>1000000/1055.06</f>
        <v>947.8133944988911</v>
      </c>
      <c r="G10" s="46"/>
    </row>
    <row r="11" spans="1:7" ht="13.5" thickBot="1">
      <c r="A11" s="70"/>
      <c r="B11" s="124" t="e">
        <f t="shared" si="1"/>
        <v>#VALUE!</v>
      </c>
      <c r="C11" s="59" t="e">
        <f t="shared" si="0"/>
        <v>#VALUE!</v>
      </c>
      <c r="D11" s="60" t="s">
        <v>122</v>
      </c>
      <c r="E11" s="71"/>
      <c r="F11">
        <f>1000000/1055.06*60*60/12000</f>
        <v>284.3440183496673</v>
      </c>
      <c r="G11" s="46"/>
    </row>
    <row r="12" spans="1:7" ht="12.75">
      <c r="A12" s="70"/>
      <c r="B12" s="124" t="e">
        <f t="shared" si="1"/>
        <v>#VALUE!</v>
      </c>
      <c r="C12" s="59" t="e">
        <f t="shared" si="0"/>
        <v>#VALUE!</v>
      </c>
      <c r="D12" s="60" t="s">
        <v>644</v>
      </c>
      <c r="E12" s="71"/>
      <c r="F12">
        <f>1000000/0.45359237/9.80665/0.3048/550</f>
        <v>1341.0220895950279</v>
      </c>
      <c r="G12" s="46"/>
    </row>
    <row r="13" spans="1:7" ht="13.5" thickBot="1">
      <c r="A13" s="70"/>
      <c r="B13" s="129" t="e">
        <f t="shared" si="1"/>
        <v>#VALUE!</v>
      </c>
      <c r="C13" s="62" t="e">
        <f t="shared" si="0"/>
        <v>#VALUE!</v>
      </c>
      <c r="D13" s="63" t="s">
        <v>652</v>
      </c>
      <c r="E13" s="71"/>
      <c r="F13">
        <f>1000000/9.80665/75</f>
        <v>1359.6216173039045</v>
      </c>
      <c r="G13" s="46"/>
    </row>
    <row r="14" spans="1:7" ht="13.5" thickBot="1">
      <c r="A14" s="70"/>
      <c r="B14" s="131" t="e">
        <f t="shared" si="1"/>
        <v>#VALUE!</v>
      </c>
      <c r="C14" s="49" t="e">
        <f t="shared" si="0"/>
        <v>#VALUE!</v>
      </c>
      <c r="D14" s="68" t="s">
        <v>126</v>
      </c>
      <c r="E14" s="71"/>
      <c r="F14">
        <v>101971.62129779284</v>
      </c>
      <c r="G14" s="46"/>
    </row>
    <row r="15" spans="1:7" ht="13.5" thickBot="1">
      <c r="A15" s="70"/>
      <c r="B15" s="124" t="e">
        <f t="shared" si="1"/>
        <v>#VALUE!</v>
      </c>
      <c r="C15" s="59" t="e">
        <f t="shared" si="0"/>
        <v>#VALUE!</v>
      </c>
      <c r="D15" s="60" t="s">
        <v>125</v>
      </c>
      <c r="E15" s="71"/>
      <c r="F15">
        <f>1000000*10000000</f>
        <v>10000000000000</v>
      </c>
      <c r="G15" s="46"/>
    </row>
    <row r="16" spans="1:7" ht="12.75">
      <c r="A16" s="70"/>
      <c r="B16" s="124" t="e">
        <f t="shared" si="1"/>
        <v>#VALUE!</v>
      </c>
      <c r="C16" s="59" t="e">
        <f t="shared" si="0"/>
        <v>#VALUE!</v>
      </c>
      <c r="D16" s="60" t="s">
        <v>678</v>
      </c>
      <c r="E16" s="71"/>
      <c r="F16">
        <v>1000000</v>
      </c>
      <c r="G16" s="46"/>
    </row>
    <row r="17" spans="1:7" ht="12.75">
      <c r="A17" s="70"/>
      <c r="B17" s="129" t="e">
        <f t="shared" si="1"/>
        <v>#VALUE!</v>
      </c>
      <c r="C17" s="62" t="e">
        <f t="shared" si="0"/>
        <v>#VALUE!</v>
      </c>
      <c r="D17" s="63" t="s">
        <v>131</v>
      </c>
      <c r="E17" s="71"/>
      <c r="F17">
        <v>1000</v>
      </c>
      <c r="G17" s="46"/>
    </row>
    <row r="18" spans="1:7" ht="13.5" thickBot="1">
      <c r="A18" s="70"/>
      <c r="B18" s="130" t="e">
        <f t="shared" si="1"/>
        <v>#VALUE!</v>
      </c>
      <c r="C18" s="65" t="e">
        <f t="shared" si="0"/>
        <v>#VALUE!</v>
      </c>
      <c r="D18" s="66" t="s">
        <v>651</v>
      </c>
      <c r="E18" s="71"/>
      <c r="F18">
        <v>1</v>
      </c>
      <c r="G18" s="46"/>
    </row>
    <row r="19" spans="1:5" ht="12.75">
      <c r="A19" s="11" t="str">
        <f>Terms!$A$22</f>
        <v>UnitsCalc20050823</v>
      </c>
      <c r="B19" s="70"/>
      <c r="C19" s="70"/>
      <c r="D19" s="70"/>
      <c r="E19" s="13" t="s">
        <v>206</v>
      </c>
    </row>
  </sheetData>
  <sheetProtection sheet="1" objects="1" scenarios="1"/>
  <conditionalFormatting sqref="C5:C11 C13:C18">
    <cfRule type="expression" priority="1" dxfId="0" stopIfTrue="1">
      <formula>ROW()&lt;&gt;$F$1</formula>
    </cfRule>
  </conditionalFormatting>
  <conditionalFormatting sqref="C12 C3:C4">
    <cfRule type="expression" priority="2" dxfId="0" stopIfTrue="1">
      <formula>ROW()&lt;&gt;$F$1</formula>
    </cfRule>
  </conditionalFormatting>
  <conditionalFormatting sqref="D3:D18 B3:B18">
    <cfRule type="expression" priority="3"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A1:G24"/>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30.7109375" style="0" customWidth="1"/>
    <col min="3" max="3" width="18.7109375" style="0" customWidth="1"/>
    <col min="4" max="4" width="27.7109375" style="0" customWidth="1"/>
    <col min="5" max="5" width="4.28125" style="0" customWidth="1"/>
    <col min="6" max="7" width="12.7109375" style="0" hidden="1" customWidth="1"/>
    <col min="8" max="9" width="12.7109375" style="0" customWidth="1"/>
  </cols>
  <sheetData>
    <row r="1" spans="1:6" ht="15" customHeight="1" thickBot="1">
      <c r="A1" s="147"/>
      <c r="B1" s="36" t="s">
        <v>300</v>
      </c>
      <c r="C1" s="36"/>
      <c r="D1" s="36"/>
      <c r="E1" s="179" t="str">
        <f>Decimals!C6</f>
        <v>F</v>
      </c>
      <c r="F1" s="67">
        <v>5</v>
      </c>
    </row>
    <row r="2" spans="1:7" ht="13.5" thickBot="1">
      <c r="A2" s="70"/>
      <c r="B2" s="150" t="s">
        <v>662</v>
      </c>
      <c r="C2" s="128">
        <v>1</v>
      </c>
      <c r="D2" s="68" t="e">
        <f>Ucorig()</f>
        <v>#VALUE!</v>
      </c>
      <c r="E2" s="71"/>
      <c r="F2" s="67">
        <v>1</v>
      </c>
      <c r="G2">
        <v>23</v>
      </c>
    </row>
    <row r="3" spans="1:6" ht="12.75">
      <c r="A3" s="70"/>
      <c r="B3" s="124" t="e">
        <f>Ucd()</f>
        <v>#VALUE!</v>
      </c>
      <c r="C3" s="59" t="e">
        <f aca="true" t="shared" si="0" ref="C3:C23">Uc(ROW())</f>
        <v>#VALUE!</v>
      </c>
      <c r="D3" s="60" t="s">
        <v>576</v>
      </c>
      <c r="E3" s="71"/>
      <c r="F3">
        <f>2240*0.45359237*9.80665*36*25.4</f>
        <v>9111096.61278701</v>
      </c>
    </row>
    <row r="4" spans="1:6" ht="12.75">
      <c r="A4" s="70"/>
      <c r="B4" s="129" t="e">
        <f aca="true" t="shared" si="1" ref="B4:B23">Ucd()</f>
        <v>#VALUE!</v>
      </c>
      <c r="C4" s="62" t="e">
        <f t="shared" si="0"/>
        <v>#VALUE!</v>
      </c>
      <c r="D4" s="63" t="s">
        <v>775</v>
      </c>
      <c r="E4" s="71"/>
      <c r="F4">
        <f>2240*0.45359237*9.80665*36*25.4/10</f>
        <v>911109.661278701</v>
      </c>
    </row>
    <row r="5" spans="1:6" ht="13.5" thickBot="1">
      <c r="A5" s="70"/>
      <c r="B5" s="130" t="e">
        <f t="shared" si="1"/>
        <v>#VALUE!</v>
      </c>
      <c r="C5" s="75" t="e">
        <f t="shared" si="0"/>
        <v>#VALUE!</v>
      </c>
      <c r="D5" s="66" t="s">
        <v>75</v>
      </c>
      <c r="E5" s="71"/>
      <c r="F5">
        <f>2240*0.45359237*9.80665*36*25.4/1000</f>
        <v>9111.09661278701</v>
      </c>
    </row>
    <row r="6" spans="1:6" ht="12.75">
      <c r="A6" s="70"/>
      <c r="B6" s="124" t="e">
        <f t="shared" si="1"/>
        <v>#VALUE!</v>
      </c>
      <c r="C6" s="59" t="e">
        <f t="shared" si="0"/>
        <v>#VALUE!</v>
      </c>
      <c r="D6" s="60" t="s">
        <v>579</v>
      </c>
      <c r="E6" s="71"/>
      <c r="F6">
        <f>2240*0.45359237*9.80665*36*25.4/1000</f>
        <v>9111.09661278701</v>
      </c>
    </row>
    <row r="7" spans="1:6" ht="12.75">
      <c r="A7" s="70"/>
      <c r="B7" s="129" t="e">
        <f t="shared" si="1"/>
        <v>#VALUE!</v>
      </c>
      <c r="C7" s="62" t="e">
        <f t="shared" si="0"/>
        <v>#VALUE!</v>
      </c>
      <c r="D7" s="63" t="s">
        <v>578</v>
      </c>
      <c r="E7" s="71"/>
      <c r="F7">
        <f>2240*0.45359237*9.80665*36*25.4/10000</f>
        <v>911.109661278701</v>
      </c>
    </row>
    <row r="8" spans="1:6" ht="13.5" thickBot="1">
      <c r="A8" s="70"/>
      <c r="B8" s="130" t="e">
        <f t="shared" si="1"/>
        <v>#VALUE!</v>
      </c>
      <c r="C8" s="75" t="e">
        <f t="shared" si="0"/>
        <v>#VALUE!</v>
      </c>
      <c r="D8" s="66" t="s">
        <v>577</v>
      </c>
      <c r="E8" s="71"/>
      <c r="F8">
        <f>2240*0.45359237*9.80665*36*25.4/1000000</f>
        <v>9.11109661278701</v>
      </c>
    </row>
    <row r="9" spans="1:6" ht="12.75">
      <c r="A9" s="70"/>
      <c r="B9" s="124" t="e">
        <f t="shared" si="1"/>
        <v>#VALUE!</v>
      </c>
      <c r="C9" s="59" t="e">
        <f t="shared" si="0"/>
        <v>#VALUE!</v>
      </c>
      <c r="D9" s="60" t="s">
        <v>582</v>
      </c>
      <c r="E9" s="71"/>
      <c r="F9">
        <f>2240*0.45359237*36*25.4</f>
        <v>929073.29340672</v>
      </c>
    </row>
    <row r="10" spans="1:6" ht="12.75">
      <c r="A10" s="70"/>
      <c r="B10" s="129" t="e">
        <f t="shared" si="1"/>
        <v>#VALUE!</v>
      </c>
      <c r="C10" s="62" t="e">
        <f t="shared" si="0"/>
        <v>#VALUE!</v>
      </c>
      <c r="D10" s="63" t="s">
        <v>581</v>
      </c>
      <c r="E10" s="71"/>
      <c r="F10">
        <f>2240*0.45359237*36*25.4/10</f>
        <v>92907.329340672</v>
      </c>
    </row>
    <row r="11" spans="1:6" ht="13.5" thickBot="1">
      <c r="A11" s="70"/>
      <c r="B11" s="130" t="e">
        <f t="shared" si="1"/>
        <v>#VALUE!</v>
      </c>
      <c r="C11" s="75" t="e">
        <f t="shared" si="0"/>
        <v>#VALUE!</v>
      </c>
      <c r="D11" s="66" t="s">
        <v>580</v>
      </c>
      <c r="E11" s="71"/>
      <c r="F11">
        <f>2240*0.45359237*36*25.4/1000</f>
        <v>929.07329340672</v>
      </c>
    </row>
    <row r="12" spans="1:6" ht="12.75">
      <c r="A12" s="70"/>
      <c r="B12" s="124" t="e">
        <f t="shared" si="1"/>
        <v>#VALUE!</v>
      </c>
      <c r="C12" s="59" t="e">
        <f t="shared" si="0"/>
        <v>#VALUE!</v>
      </c>
      <c r="D12" s="60" t="s">
        <v>585</v>
      </c>
      <c r="E12" s="71"/>
      <c r="F12">
        <f>2240*0.45359237*36*25.4/1000</f>
        <v>929.07329340672</v>
      </c>
    </row>
    <row r="13" spans="1:6" ht="12.75">
      <c r="A13" s="70"/>
      <c r="B13" s="129" t="e">
        <f t="shared" si="1"/>
        <v>#VALUE!</v>
      </c>
      <c r="C13" s="62" t="e">
        <f t="shared" si="0"/>
        <v>#VALUE!</v>
      </c>
      <c r="D13" s="63" t="s">
        <v>584</v>
      </c>
      <c r="E13" s="71"/>
      <c r="F13">
        <f>2240*0.45359237*36*25.4/10000</f>
        <v>92.907329340672</v>
      </c>
    </row>
    <row r="14" spans="1:6" ht="13.5" thickBot="1">
      <c r="A14" s="70"/>
      <c r="B14" s="130" t="e">
        <f t="shared" si="1"/>
        <v>#VALUE!</v>
      </c>
      <c r="C14" s="75">
        <v>1</v>
      </c>
      <c r="D14" s="66" t="s">
        <v>583</v>
      </c>
      <c r="E14" s="71"/>
      <c r="F14">
        <f>2240*0.45359237*36*25.4/1000000</f>
        <v>0.9290732934067201</v>
      </c>
    </row>
    <row r="15" spans="1:6" ht="12.75">
      <c r="A15" s="70"/>
      <c r="B15" s="124" t="e">
        <f t="shared" si="1"/>
        <v>#VALUE!</v>
      </c>
      <c r="C15" s="59" t="e">
        <f t="shared" si="0"/>
        <v>#VALUE!</v>
      </c>
      <c r="D15" s="60" t="s">
        <v>588</v>
      </c>
      <c r="E15" s="71"/>
      <c r="F15">
        <f>2240*36</f>
        <v>80640</v>
      </c>
    </row>
    <row r="16" spans="1:6" ht="12.75">
      <c r="A16" s="70"/>
      <c r="B16" s="129" t="e">
        <f t="shared" si="1"/>
        <v>#VALUE!</v>
      </c>
      <c r="C16" s="62" t="e">
        <f t="shared" si="0"/>
        <v>#VALUE!</v>
      </c>
      <c r="D16" s="63" t="s">
        <v>587</v>
      </c>
      <c r="E16" s="71"/>
      <c r="F16">
        <f>2240*3</f>
        <v>6720</v>
      </c>
    </row>
    <row r="17" spans="1:6" ht="13.5" thickBot="1">
      <c r="A17" s="70"/>
      <c r="B17" s="130" t="e">
        <f t="shared" si="1"/>
        <v>#VALUE!</v>
      </c>
      <c r="C17" s="75" t="e">
        <f t="shared" si="0"/>
        <v>#VALUE!</v>
      </c>
      <c r="D17" s="66" t="s">
        <v>586</v>
      </c>
      <c r="E17" s="71"/>
      <c r="F17">
        <v>2240</v>
      </c>
    </row>
    <row r="18" spans="1:6" ht="12.75">
      <c r="A18" s="70"/>
      <c r="B18" s="129" t="e">
        <f t="shared" si="1"/>
        <v>#VALUE!</v>
      </c>
      <c r="C18" s="72" t="e">
        <f t="shared" si="0"/>
        <v>#VALUE!</v>
      </c>
      <c r="D18" s="63" t="s">
        <v>659</v>
      </c>
      <c r="E18" s="71"/>
      <c r="F18">
        <f>2.24*36</f>
        <v>80.64000000000001</v>
      </c>
    </row>
    <row r="19" spans="1:6" ht="12.75">
      <c r="A19" s="70"/>
      <c r="B19" s="129" t="e">
        <f t="shared" si="1"/>
        <v>#VALUE!</v>
      </c>
      <c r="C19" s="72" t="e">
        <f t="shared" si="0"/>
        <v>#VALUE!</v>
      </c>
      <c r="D19" s="63" t="s">
        <v>658</v>
      </c>
      <c r="E19" s="71"/>
      <c r="F19">
        <f>2.24*3</f>
        <v>6.720000000000001</v>
      </c>
    </row>
    <row r="20" spans="1:6" ht="13.5" thickBot="1">
      <c r="A20" s="70"/>
      <c r="B20" s="130" t="e">
        <f t="shared" si="1"/>
        <v>#VALUE!</v>
      </c>
      <c r="C20" s="65" t="e">
        <f t="shared" si="0"/>
        <v>#VALUE!</v>
      </c>
      <c r="D20" s="66" t="s">
        <v>657</v>
      </c>
      <c r="E20" s="71"/>
      <c r="F20">
        <f>2.24*1</f>
        <v>2.24</v>
      </c>
    </row>
    <row r="21" spans="1:6" ht="12.75">
      <c r="A21" s="70"/>
      <c r="B21" s="129" t="e">
        <f t="shared" si="1"/>
        <v>#VALUE!</v>
      </c>
      <c r="C21" s="72" t="e">
        <f t="shared" si="0"/>
        <v>#VALUE!</v>
      </c>
      <c r="D21" s="63" t="s">
        <v>591</v>
      </c>
      <c r="E21" s="71"/>
      <c r="F21">
        <v>36</v>
      </c>
    </row>
    <row r="22" spans="1:6" ht="12.75">
      <c r="A22" s="70"/>
      <c r="B22" s="129" t="e">
        <f t="shared" si="1"/>
        <v>#VALUE!</v>
      </c>
      <c r="C22" s="72" t="e">
        <f t="shared" si="0"/>
        <v>#VALUE!</v>
      </c>
      <c r="D22" s="63" t="s">
        <v>590</v>
      </c>
      <c r="E22" s="71"/>
      <c r="F22">
        <v>3</v>
      </c>
    </row>
    <row r="23" spans="1:6" ht="13.5" thickBot="1">
      <c r="A23" s="70"/>
      <c r="B23" s="130" t="e">
        <f t="shared" si="1"/>
        <v>#VALUE!</v>
      </c>
      <c r="C23" s="65" t="e">
        <f t="shared" si="0"/>
        <v>#VALUE!</v>
      </c>
      <c r="D23" s="66" t="s">
        <v>589</v>
      </c>
      <c r="E23" s="71"/>
      <c r="F23">
        <v>1</v>
      </c>
    </row>
    <row r="24" spans="1:5" ht="12.75">
      <c r="A24" s="11" t="str">
        <f>Terms!$A$22</f>
        <v>UnitsCalc20050823</v>
      </c>
      <c r="B24" s="70"/>
      <c r="C24" s="70"/>
      <c r="D24" s="70"/>
      <c r="E24" s="13" t="s">
        <v>206</v>
      </c>
    </row>
  </sheetData>
  <sheetProtection sheet="1" objects="1" scenarios="1"/>
  <conditionalFormatting sqref="C5 C8 C11 C14 C17:C23">
    <cfRule type="expression" priority="1" dxfId="0" stopIfTrue="1">
      <formula>ROW()&lt;&gt;$F$1</formula>
    </cfRule>
  </conditionalFormatting>
  <conditionalFormatting sqref="C3:C4 C6:C7 C9:C10 C12:C13 C15:C16">
    <cfRule type="expression" priority="2" dxfId="0" stopIfTrue="1">
      <formula>ROW()&lt;&gt;$F$1</formula>
    </cfRule>
  </conditionalFormatting>
  <conditionalFormatting sqref="B3:B23 D3:D23">
    <cfRule type="expression" priority="3"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99" r:id="rId3"/>
  <headerFooter alignWithMargins="0">
    <oddFooter>&amp;L&amp;"Arial,Italic"&amp;8File: &amp;F Tab: &amp;A&amp;R&amp;"Arial,Italic"&amp;8Date Printed: &amp;D</oddFooter>
  </headerFooter>
  <drawing r:id="rId2"/>
  <legacyDrawing r:id="rId1"/>
</worksheet>
</file>

<file path=xl/worksheets/sheet17.xml><?xml version="1.0" encoding="utf-8"?>
<worksheet xmlns="http://schemas.openxmlformats.org/spreadsheetml/2006/main" xmlns:r="http://schemas.openxmlformats.org/officeDocument/2006/relationships">
  <sheetPr codeName="Sheet10">
    <pageSetUpPr fitToPage="1"/>
  </sheetPr>
  <dimension ref="A1:G14"/>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6.00390625" style="0" customWidth="1"/>
    <col min="2" max="2" width="30.7109375" style="0" customWidth="1"/>
    <col min="3" max="3" width="18.7109375" style="0" customWidth="1"/>
    <col min="4" max="4" width="18.28125" style="0" customWidth="1"/>
    <col min="5" max="5" width="3.7109375" style="0" customWidth="1"/>
    <col min="6" max="6" width="13.57421875" style="0" hidden="1" customWidth="1"/>
    <col min="7" max="7" width="5.00390625" style="0" hidden="1" customWidth="1"/>
  </cols>
  <sheetData>
    <row r="1" spans="1:6" ht="15" customHeight="1" thickBot="1">
      <c r="A1" s="147"/>
      <c r="B1" s="36" t="s">
        <v>138</v>
      </c>
      <c r="C1" s="36"/>
      <c r="D1" s="36"/>
      <c r="E1" s="179" t="str">
        <f>Decimals!C6</f>
        <v>F</v>
      </c>
      <c r="F1" s="67">
        <v>3</v>
      </c>
    </row>
    <row r="2" spans="1:7" ht="13.5" thickBot="1">
      <c r="A2" s="70"/>
      <c r="B2" s="150" t="s">
        <v>662</v>
      </c>
      <c r="C2" s="128">
        <v>1</v>
      </c>
      <c r="D2" s="68" t="e">
        <f>Ucorig()</f>
        <v>#VALUE!</v>
      </c>
      <c r="E2" s="71"/>
      <c r="F2" s="67">
        <v>1</v>
      </c>
      <c r="G2">
        <v>13</v>
      </c>
    </row>
    <row r="3" spans="1:6" ht="12.75">
      <c r="A3" s="70"/>
      <c r="B3" s="129" t="e">
        <f>Ucd()</f>
        <v>#VALUE!</v>
      </c>
      <c r="C3" s="62" t="e">
        <f aca="true" t="shared" si="0" ref="C3:C13">Uc(ROW())</f>
        <v>#VALUE!</v>
      </c>
      <c r="D3" s="63" t="s">
        <v>748</v>
      </c>
      <c r="E3" s="71"/>
      <c r="F3">
        <f>(63360*25.4)^3</f>
        <v>4.1681818254405796E+18</v>
      </c>
    </row>
    <row r="4" spans="1:6" ht="12.75">
      <c r="A4" s="70"/>
      <c r="B4" s="129" t="e">
        <f aca="true" t="shared" si="1" ref="B4:B13">Ucd()</f>
        <v>#VALUE!</v>
      </c>
      <c r="C4" s="62" t="e">
        <f t="shared" si="0"/>
        <v>#VALUE!</v>
      </c>
      <c r="D4" s="63" t="s">
        <v>749</v>
      </c>
      <c r="E4" s="71"/>
      <c r="F4">
        <f>(63360*25.4/10)^3</f>
        <v>4168181825440579</v>
      </c>
    </row>
    <row r="5" spans="1:6" ht="12.75">
      <c r="A5" s="70"/>
      <c r="B5" s="129" t="e">
        <f t="shared" si="1"/>
        <v>#VALUE!</v>
      </c>
      <c r="C5" s="62" t="e">
        <f t="shared" si="0"/>
        <v>#VALUE!</v>
      </c>
      <c r="D5" s="63" t="s">
        <v>750</v>
      </c>
      <c r="E5" s="71"/>
      <c r="F5">
        <f>(63360*25.4/100)^3</f>
        <v>4168181825440.5796</v>
      </c>
    </row>
    <row r="6" spans="1:6" ht="12.75">
      <c r="A6" s="70"/>
      <c r="B6" s="129" t="e">
        <f t="shared" si="1"/>
        <v>#VALUE!</v>
      </c>
      <c r="C6" s="62" t="e">
        <f t="shared" si="0"/>
        <v>#VALUE!</v>
      </c>
      <c r="D6" s="63" t="s">
        <v>751</v>
      </c>
      <c r="E6" s="71"/>
      <c r="F6">
        <f>(63360*25.4/1000)^3</f>
        <v>4168181825.44058</v>
      </c>
    </row>
    <row r="7" spans="1:6" ht="12.75">
      <c r="A7" s="70"/>
      <c r="B7" s="129" t="e">
        <f t="shared" si="1"/>
        <v>#VALUE!</v>
      </c>
      <c r="C7" s="62" t="e">
        <f t="shared" si="0"/>
        <v>#VALUE!</v>
      </c>
      <c r="D7" s="63" t="s">
        <v>752</v>
      </c>
      <c r="E7" s="71"/>
      <c r="F7">
        <f>(63360*25.4/100000)^3</f>
        <v>4168.18182544058</v>
      </c>
    </row>
    <row r="8" spans="1:6" ht="13.5" thickBot="1">
      <c r="A8" s="70"/>
      <c r="B8" s="130" t="e">
        <f t="shared" si="1"/>
        <v>#VALUE!</v>
      </c>
      <c r="C8" s="65" t="e">
        <f t="shared" si="0"/>
        <v>#VALUE!</v>
      </c>
      <c r="D8" s="66" t="s">
        <v>753</v>
      </c>
      <c r="E8" s="71"/>
      <c r="F8">
        <f>(63360*25.4/1000000)^3</f>
        <v>4.1681818254405805</v>
      </c>
    </row>
    <row r="9" spans="1:6" ht="12.75">
      <c r="A9" s="70"/>
      <c r="B9" s="129" t="e">
        <f t="shared" si="1"/>
        <v>#VALUE!</v>
      </c>
      <c r="C9" s="62" t="e">
        <f t="shared" si="0"/>
        <v>#VALUE!</v>
      </c>
      <c r="D9" s="63" t="s">
        <v>754</v>
      </c>
      <c r="E9" s="71"/>
      <c r="F9">
        <f>63360^3</f>
        <v>254358061056000</v>
      </c>
    </row>
    <row r="10" spans="1:6" ht="12.75">
      <c r="A10" s="70"/>
      <c r="B10" s="129" t="e">
        <f t="shared" si="1"/>
        <v>#VALUE!</v>
      </c>
      <c r="C10" s="62" t="e">
        <f t="shared" si="0"/>
        <v>#VALUE!</v>
      </c>
      <c r="D10" s="63" t="s">
        <v>755</v>
      </c>
      <c r="E10" s="71"/>
      <c r="F10">
        <f>5280^3</f>
        <v>147197952000</v>
      </c>
    </row>
    <row r="11" spans="1:6" ht="12.75">
      <c r="A11" s="70"/>
      <c r="B11" s="129" t="e">
        <f t="shared" si="1"/>
        <v>#VALUE!</v>
      </c>
      <c r="C11" s="62" t="e">
        <f t="shared" si="0"/>
        <v>#VALUE!</v>
      </c>
      <c r="D11" s="63" t="s">
        <v>756</v>
      </c>
      <c r="E11" s="71"/>
      <c r="F11">
        <f>1760^3</f>
        <v>5451776000</v>
      </c>
    </row>
    <row r="12" spans="1:6" ht="12.75">
      <c r="A12" s="70"/>
      <c r="B12" s="129" t="e">
        <f t="shared" si="1"/>
        <v>#VALUE!</v>
      </c>
      <c r="C12" s="62" t="e">
        <f t="shared" si="0"/>
        <v>#VALUE!</v>
      </c>
      <c r="D12" s="63" t="s">
        <v>757</v>
      </c>
      <c r="E12" s="71"/>
      <c r="F12">
        <f>8^3</f>
        <v>512</v>
      </c>
    </row>
    <row r="13" spans="1:6" ht="13.5" thickBot="1">
      <c r="A13" s="70"/>
      <c r="B13" s="130" t="e">
        <f t="shared" si="1"/>
        <v>#VALUE!</v>
      </c>
      <c r="C13" s="65" t="e">
        <f t="shared" si="0"/>
        <v>#VALUE!</v>
      </c>
      <c r="D13" s="66" t="s">
        <v>758</v>
      </c>
      <c r="E13" s="71"/>
      <c r="F13">
        <v>1</v>
      </c>
    </row>
    <row r="14" spans="1:5" ht="12.75">
      <c r="A14" s="11" t="str">
        <f>Terms!$A$22</f>
        <v>UnitsCalc20050823</v>
      </c>
      <c r="B14" s="70"/>
      <c r="C14" s="70"/>
      <c r="D14" s="70"/>
      <c r="E14" s="13" t="s">
        <v>206</v>
      </c>
    </row>
  </sheetData>
  <sheetProtection sheet="1" objects="1" scenarios="1"/>
  <conditionalFormatting sqref="C3:C13">
    <cfRule type="expression" priority="1" dxfId="0" stopIfTrue="1">
      <formula>ROW()&lt;&gt;$F$1</formula>
    </cfRule>
  </conditionalFormatting>
  <conditionalFormatting sqref="B3:B13 D3:D13">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18.xml><?xml version="1.0" encoding="utf-8"?>
<worksheet xmlns="http://schemas.openxmlformats.org/spreadsheetml/2006/main" xmlns:r="http://schemas.openxmlformats.org/officeDocument/2006/relationships">
  <sheetPr codeName="Sheet1">
    <pageSetUpPr fitToPage="1"/>
  </sheetPr>
  <dimension ref="A1:G35"/>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7109375" style="0" customWidth="1"/>
    <col min="2" max="2" width="31.140625" style="0" customWidth="1"/>
    <col min="3" max="3" width="18.7109375" style="0" customWidth="1"/>
    <col min="4" max="4" width="31.28125" style="0" customWidth="1"/>
    <col min="5" max="5" width="4.00390625" style="0" customWidth="1"/>
    <col min="6" max="6" width="16.8515625" style="0" hidden="1" customWidth="1"/>
    <col min="7" max="7" width="9.140625" style="0" hidden="1" customWidth="1"/>
  </cols>
  <sheetData>
    <row r="1" spans="1:6" ht="15.75" customHeight="1" thickBot="1">
      <c r="A1" s="147"/>
      <c r="B1" s="36" t="s">
        <v>29</v>
      </c>
      <c r="C1" s="36"/>
      <c r="D1" s="36"/>
      <c r="E1" s="179" t="str">
        <f>Decimals!C6</f>
        <v>F</v>
      </c>
      <c r="F1" s="67">
        <v>3</v>
      </c>
    </row>
    <row r="2" spans="1:7" ht="15.75" customHeight="1" thickBot="1">
      <c r="A2" s="70"/>
      <c r="B2" s="150" t="s">
        <v>662</v>
      </c>
      <c r="C2" s="128">
        <v>1</v>
      </c>
      <c r="D2" s="60" t="e">
        <f>Ucorig()</f>
        <v>#VALUE!</v>
      </c>
      <c r="E2" s="71"/>
      <c r="F2" s="67">
        <v>8.380431357562837E-09</v>
      </c>
      <c r="G2">
        <v>27</v>
      </c>
    </row>
    <row r="3" spans="1:6" ht="12.75">
      <c r="A3" s="70"/>
      <c r="B3" s="124" t="e">
        <f>Ucd()</f>
        <v>#VALUE!</v>
      </c>
      <c r="C3" s="59" t="e">
        <f aca="true" t="shared" si="0" ref="C3:C27">Uc(ROW())</f>
        <v>#VALUE!</v>
      </c>
      <c r="D3" s="60" t="s">
        <v>614</v>
      </c>
      <c r="E3" s="70"/>
      <c r="F3">
        <f>63360*25.4/10*3600</f>
        <v>579363840</v>
      </c>
    </row>
    <row r="4" spans="1:6" ht="12.75">
      <c r="A4" s="70"/>
      <c r="B4" s="125" t="e">
        <f aca="true" t="shared" si="1" ref="B4:B27">Ucd()</f>
        <v>#VALUE!</v>
      </c>
      <c r="C4" s="62" t="e">
        <f t="shared" si="0"/>
        <v>#VALUE!</v>
      </c>
      <c r="D4" s="63" t="s">
        <v>615</v>
      </c>
      <c r="E4" s="70"/>
      <c r="F4">
        <f>63360*25.4/10*60</f>
        <v>9656064</v>
      </c>
    </row>
    <row r="5" spans="1:6" ht="13.5" thickBot="1">
      <c r="A5" s="70"/>
      <c r="B5" s="126" t="e">
        <f t="shared" si="1"/>
        <v>#VALUE!</v>
      </c>
      <c r="C5" s="65" t="e">
        <f t="shared" si="0"/>
        <v>#VALUE!</v>
      </c>
      <c r="D5" s="66" t="s">
        <v>616</v>
      </c>
      <c r="E5" s="70"/>
      <c r="F5">
        <f>63360*25.4/10</f>
        <v>160934.4</v>
      </c>
    </row>
    <row r="6" spans="1:6" ht="12.75">
      <c r="A6" s="70"/>
      <c r="B6" s="124" t="e">
        <f t="shared" si="1"/>
        <v>#VALUE!</v>
      </c>
      <c r="C6" s="59" t="e">
        <f t="shared" si="0"/>
        <v>#VALUE!</v>
      </c>
      <c r="D6" s="60" t="s">
        <v>617</v>
      </c>
      <c r="E6" s="70"/>
      <c r="F6">
        <f>63360*25.4/1000*3600</f>
        <v>5793638.4</v>
      </c>
    </row>
    <row r="7" spans="1:6" ht="12.75">
      <c r="A7" s="70"/>
      <c r="B7" s="125" t="e">
        <f t="shared" si="1"/>
        <v>#VALUE!</v>
      </c>
      <c r="C7" s="62" t="e">
        <f t="shared" si="0"/>
        <v>#VALUE!</v>
      </c>
      <c r="D7" s="63" t="s">
        <v>618</v>
      </c>
      <c r="E7" s="70"/>
      <c r="F7">
        <f>63360*25.4/1000*60</f>
        <v>96560.64</v>
      </c>
    </row>
    <row r="8" spans="1:6" ht="13.5" thickBot="1">
      <c r="A8" s="70"/>
      <c r="B8" s="126" t="e">
        <f t="shared" si="1"/>
        <v>#VALUE!</v>
      </c>
      <c r="C8" s="65" t="e">
        <f t="shared" si="0"/>
        <v>#VALUE!</v>
      </c>
      <c r="D8" s="66" t="s">
        <v>619</v>
      </c>
      <c r="E8" s="70"/>
      <c r="F8">
        <f>63360*25.4/1000</f>
        <v>1609.344</v>
      </c>
    </row>
    <row r="9" spans="1:6" ht="12.75">
      <c r="A9" s="70"/>
      <c r="B9" s="124" t="e">
        <f t="shared" si="1"/>
        <v>#VALUE!</v>
      </c>
      <c r="C9" s="59" t="e">
        <f t="shared" si="0"/>
        <v>#VALUE!</v>
      </c>
      <c r="D9" s="60" t="s">
        <v>620</v>
      </c>
      <c r="E9" s="70"/>
      <c r="F9">
        <f>63360*25.4/1000000*3600</f>
        <v>5793.638400000001</v>
      </c>
    </row>
    <row r="10" spans="1:6" ht="12.75">
      <c r="A10" s="70"/>
      <c r="B10" s="125" t="e">
        <f t="shared" si="1"/>
        <v>#VALUE!</v>
      </c>
      <c r="C10" s="62" t="e">
        <f t="shared" si="0"/>
        <v>#VALUE!</v>
      </c>
      <c r="D10" s="63" t="s">
        <v>621</v>
      </c>
      <c r="E10" s="70"/>
      <c r="F10">
        <f>63360*25.4/1000000*60</f>
        <v>96.56064</v>
      </c>
    </row>
    <row r="11" spans="1:6" ht="13.5" thickBot="1">
      <c r="A11" s="70"/>
      <c r="B11" s="126" t="e">
        <f t="shared" si="1"/>
        <v>#VALUE!</v>
      </c>
      <c r="C11" s="65" t="e">
        <f t="shared" si="0"/>
        <v>#VALUE!</v>
      </c>
      <c r="D11" s="66" t="s">
        <v>622</v>
      </c>
      <c r="E11" s="70"/>
      <c r="F11">
        <f>63360*25.4/1000000</f>
        <v>1.609344</v>
      </c>
    </row>
    <row r="12" spans="1:6" ht="12.75">
      <c r="A12" s="70"/>
      <c r="B12" s="127" t="e">
        <f t="shared" si="1"/>
        <v>#VALUE!</v>
      </c>
      <c r="C12" s="59" t="e">
        <f t="shared" si="0"/>
        <v>#VALUE!</v>
      </c>
      <c r="D12" s="60" t="s">
        <v>635</v>
      </c>
      <c r="E12" s="70"/>
      <c r="F12">
        <f>63360*25.4/1852000*3600</f>
        <v>3128.3144708423324</v>
      </c>
    </row>
    <row r="13" spans="1:6" ht="13.5" thickBot="1">
      <c r="A13" s="70"/>
      <c r="B13" s="126" t="e">
        <f t="shared" si="1"/>
        <v>#VALUE!</v>
      </c>
      <c r="C13" s="65" t="e">
        <f t="shared" si="0"/>
        <v>#VALUE!</v>
      </c>
      <c r="D13" s="66" t="s">
        <v>636</v>
      </c>
      <c r="E13" s="70"/>
      <c r="F13">
        <f>5280/6080*3600</f>
        <v>3126.315789473684</v>
      </c>
    </row>
    <row r="14" spans="1:6" ht="13.5" thickBot="1">
      <c r="A14" s="70"/>
      <c r="B14" s="126" t="e">
        <f t="shared" si="1"/>
        <v>#VALUE!</v>
      </c>
      <c r="C14" s="59" t="e">
        <f t="shared" si="0"/>
        <v>#VALUE!</v>
      </c>
      <c r="D14" s="66" t="s">
        <v>664</v>
      </c>
      <c r="E14" s="70"/>
      <c r="F14">
        <f>63360*25.4/1000/299792458</f>
        <v>5.368193752225749E-06</v>
      </c>
    </row>
    <row r="15" spans="1:6" ht="13.5" thickBot="1">
      <c r="A15" s="70"/>
      <c r="B15" s="126" t="e">
        <f t="shared" si="1"/>
        <v>#VALUE!</v>
      </c>
      <c r="C15" s="59" t="e">
        <f t="shared" si="0"/>
        <v>#VALUE!</v>
      </c>
      <c r="D15" s="66" t="s">
        <v>623</v>
      </c>
      <c r="E15" s="70"/>
      <c r="F15">
        <f>63.36*25.4*3600/1193256</f>
        <v>4.855318892174018</v>
      </c>
    </row>
    <row r="16" spans="1:6" ht="12.75">
      <c r="A16" s="70"/>
      <c r="B16" s="124" t="e">
        <f t="shared" si="1"/>
        <v>#VALUE!</v>
      </c>
      <c r="C16" s="59" t="e">
        <f t="shared" si="0"/>
        <v>#VALUE!</v>
      </c>
      <c r="D16" s="60" t="s">
        <v>624</v>
      </c>
      <c r="E16" s="70"/>
      <c r="F16">
        <f>63360*3600</f>
        <v>228096000</v>
      </c>
    </row>
    <row r="17" spans="1:6" ht="12.75">
      <c r="A17" s="70"/>
      <c r="B17" s="125" t="e">
        <f t="shared" si="1"/>
        <v>#VALUE!</v>
      </c>
      <c r="C17" s="62" t="e">
        <f t="shared" si="0"/>
        <v>#VALUE!</v>
      </c>
      <c r="D17" s="63" t="s">
        <v>625</v>
      </c>
      <c r="E17" s="70"/>
      <c r="F17">
        <f>63360*60</f>
        <v>3801600</v>
      </c>
    </row>
    <row r="18" spans="1:6" ht="13.5" thickBot="1">
      <c r="A18" s="70"/>
      <c r="B18" s="126" t="e">
        <f t="shared" si="1"/>
        <v>#VALUE!</v>
      </c>
      <c r="C18" s="65" t="e">
        <f t="shared" si="0"/>
        <v>#VALUE!</v>
      </c>
      <c r="D18" s="66" t="s">
        <v>626</v>
      </c>
      <c r="E18" s="70"/>
      <c r="F18">
        <f>63360</f>
        <v>63360</v>
      </c>
    </row>
    <row r="19" spans="1:6" ht="12.75">
      <c r="A19" s="70"/>
      <c r="B19" s="124" t="e">
        <f t="shared" si="1"/>
        <v>#VALUE!</v>
      </c>
      <c r="C19" s="59" t="e">
        <f t="shared" si="0"/>
        <v>#VALUE!</v>
      </c>
      <c r="D19" s="60" t="s">
        <v>627</v>
      </c>
      <c r="E19" s="70"/>
      <c r="F19">
        <f>5280*3600</f>
        <v>19008000</v>
      </c>
    </row>
    <row r="20" spans="1:6" ht="12.75">
      <c r="A20" s="70"/>
      <c r="B20" s="125" t="e">
        <f t="shared" si="1"/>
        <v>#VALUE!</v>
      </c>
      <c r="C20" s="62" t="e">
        <f t="shared" si="0"/>
        <v>#VALUE!</v>
      </c>
      <c r="D20" s="63" t="s">
        <v>628</v>
      </c>
      <c r="E20" s="70"/>
      <c r="F20">
        <f>5280*60</f>
        <v>316800</v>
      </c>
    </row>
    <row r="21" spans="1:6" ht="13.5" thickBot="1">
      <c r="A21" s="70"/>
      <c r="B21" s="126" t="e">
        <f t="shared" si="1"/>
        <v>#VALUE!</v>
      </c>
      <c r="C21" s="65" t="e">
        <f t="shared" si="0"/>
        <v>#VALUE!</v>
      </c>
      <c r="D21" s="66" t="s">
        <v>629</v>
      </c>
      <c r="E21" s="70"/>
      <c r="F21">
        <f>5280</f>
        <v>5280</v>
      </c>
    </row>
    <row r="22" spans="1:6" ht="12.75">
      <c r="A22" s="70"/>
      <c r="B22" s="124" t="e">
        <f t="shared" si="1"/>
        <v>#VALUE!</v>
      </c>
      <c r="C22" s="59" t="e">
        <f t="shared" si="0"/>
        <v>#VALUE!</v>
      </c>
      <c r="D22" s="60" t="s">
        <v>630</v>
      </c>
      <c r="E22" s="70"/>
      <c r="F22">
        <f>1760*3600</f>
        <v>6336000</v>
      </c>
    </row>
    <row r="23" spans="1:6" ht="12.75">
      <c r="A23" s="70"/>
      <c r="B23" s="125" t="e">
        <f t="shared" si="1"/>
        <v>#VALUE!</v>
      </c>
      <c r="C23" s="62" t="e">
        <f t="shared" si="0"/>
        <v>#VALUE!</v>
      </c>
      <c r="D23" s="63" t="s">
        <v>631</v>
      </c>
      <c r="E23" s="70"/>
      <c r="F23">
        <f>1760*60</f>
        <v>105600</v>
      </c>
    </row>
    <row r="24" spans="1:6" ht="13.5" thickBot="1">
      <c r="A24" s="70"/>
      <c r="B24" s="126" t="e">
        <f t="shared" si="1"/>
        <v>#VALUE!</v>
      </c>
      <c r="C24" s="65" t="e">
        <f t="shared" si="0"/>
        <v>#VALUE!</v>
      </c>
      <c r="D24" s="66" t="s">
        <v>632</v>
      </c>
      <c r="E24" s="70"/>
      <c r="F24">
        <f>1760</f>
        <v>1760</v>
      </c>
    </row>
    <row r="25" spans="1:6" ht="12.75">
      <c r="A25" s="70"/>
      <c r="B25" s="124" t="e">
        <f t="shared" si="1"/>
        <v>#VALUE!</v>
      </c>
      <c r="C25" s="59" t="e">
        <f t="shared" si="0"/>
        <v>#VALUE!</v>
      </c>
      <c r="D25" s="60" t="s">
        <v>76</v>
      </c>
      <c r="E25" s="70"/>
      <c r="F25">
        <v>3600</v>
      </c>
    </row>
    <row r="26" spans="1:6" ht="12.75">
      <c r="A26" s="70"/>
      <c r="B26" s="125" t="e">
        <f t="shared" si="1"/>
        <v>#VALUE!</v>
      </c>
      <c r="C26" s="62" t="e">
        <f t="shared" si="0"/>
        <v>#VALUE!</v>
      </c>
      <c r="D26" s="63" t="s">
        <v>633</v>
      </c>
      <c r="E26" s="70"/>
      <c r="F26">
        <f>60</f>
        <v>60</v>
      </c>
    </row>
    <row r="27" spans="1:6" ht="13.5" thickBot="1">
      <c r="A27" s="70"/>
      <c r="B27" s="126" t="e">
        <f t="shared" si="1"/>
        <v>#VALUE!</v>
      </c>
      <c r="C27" s="65" t="e">
        <f t="shared" si="0"/>
        <v>#VALUE!</v>
      </c>
      <c r="D27" s="66" t="s">
        <v>634</v>
      </c>
      <c r="E27" s="70"/>
      <c r="F27">
        <v>1</v>
      </c>
    </row>
    <row r="28" spans="1:5" ht="12.75">
      <c r="A28" s="11" t="str">
        <f>Terms!$A$22</f>
        <v>UnitsCalc20050823</v>
      </c>
      <c r="B28" s="70"/>
      <c r="C28" s="70"/>
      <c r="D28" s="70"/>
      <c r="E28" s="13" t="s">
        <v>206</v>
      </c>
    </row>
    <row r="35" ht="12.75">
      <c r="D35" s="123"/>
    </row>
  </sheetData>
  <sheetProtection sheet="1" objects="1" scenarios="1"/>
  <conditionalFormatting sqref="C3:C27">
    <cfRule type="expression" priority="1" dxfId="0" stopIfTrue="1">
      <formula>ROW()&lt;&gt;$F$1</formula>
    </cfRule>
  </conditionalFormatting>
  <conditionalFormatting sqref="B3:B27">
    <cfRule type="expression" priority="2" dxfId="1" stopIfTrue="1">
      <formula>ROW()=$F$1</formula>
    </cfRule>
  </conditionalFormatting>
  <conditionalFormatting sqref="D3:D27">
    <cfRule type="expression" priority="3"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4"/>
  <headerFooter alignWithMargins="0">
    <oddFooter>&amp;L&amp;"Arial,Italic"&amp;8File: &amp;F Tab: &amp;A&amp;R&amp;"Arial,Italic"&amp;8Date Printed: &amp;D</oddFooter>
  </headerFooter>
  <drawing r:id="rId3"/>
  <legacyDrawing r:id="rId2"/>
</worksheet>
</file>

<file path=xl/worksheets/sheet19.xml><?xml version="1.0" encoding="utf-8"?>
<worksheet xmlns="http://schemas.openxmlformats.org/spreadsheetml/2006/main" xmlns:r="http://schemas.openxmlformats.org/officeDocument/2006/relationships">
  <sheetPr codeName="Sheet3">
    <pageSetUpPr fitToPage="1"/>
  </sheetPr>
  <dimension ref="A1:G7"/>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57421875" style="0" customWidth="1"/>
    <col min="2" max="2" width="38.7109375" style="0" customWidth="1"/>
    <col min="3" max="3" width="18.7109375" style="0" customWidth="1"/>
    <col min="4" max="4" width="38.7109375" style="0" customWidth="1"/>
    <col min="5" max="5" width="3.8515625" style="0" customWidth="1"/>
    <col min="6" max="6" width="16.8515625" style="0" hidden="1" customWidth="1"/>
    <col min="7" max="7" width="9.140625" style="0" hidden="1" customWidth="1"/>
  </cols>
  <sheetData>
    <row r="1" spans="1:6" ht="15.75" customHeight="1" thickBot="1">
      <c r="A1" s="147"/>
      <c r="B1" s="36" t="s">
        <v>81</v>
      </c>
      <c r="C1" s="36"/>
      <c r="D1" s="36"/>
      <c r="E1" s="179" t="str">
        <f>Decimals!C6</f>
        <v>F</v>
      </c>
      <c r="F1" s="67">
        <v>3</v>
      </c>
    </row>
    <row r="2" spans="1:7" ht="15.75" customHeight="1" thickBot="1">
      <c r="A2" s="70"/>
      <c r="B2" s="150" t="s">
        <v>662</v>
      </c>
      <c r="C2" s="128">
        <v>1</v>
      </c>
      <c r="D2" s="60" t="e">
        <f>Ucorig()</f>
        <v>#VALUE!</v>
      </c>
      <c r="E2" s="71"/>
      <c r="F2" s="67">
        <v>0.10471975511966</v>
      </c>
      <c r="G2">
        <v>6</v>
      </c>
    </row>
    <row r="3" spans="1:6" ht="12.75">
      <c r="A3" s="70"/>
      <c r="B3" s="124" t="e">
        <f>Ucd()</f>
        <v>#VALUE!</v>
      </c>
      <c r="C3" s="59" t="e">
        <f>Uc(ROW())</f>
        <v>#VALUE!</v>
      </c>
      <c r="D3" s="60" t="s">
        <v>78</v>
      </c>
      <c r="E3" s="70"/>
      <c r="F3">
        <v>360</v>
      </c>
    </row>
    <row r="4" spans="1:6" ht="12.75">
      <c r="A4" s="70"/>
      <c r="B4" s="125" t="e">
        <f>Ucd()</f>
        <v>#VALUE!</v>
      </c>
      <c r="C4" s="62" t="e">
        <f>Uc(ROW())</f>
        <v>#VALUE!</v>
      </c>
      <c r="D4" s="63" t="s">
        <v>79</v>
      </c>
      <c r="E4" s="70"/>
      <c r="F4">
        <f>2*PI()</f>
        <v>6.283185307179586</v>
      </c>
    </row>
    <row r="5" spans="1:6" ht="12.75">
      <c r="A5" s="70"/>
      <c r="B5" s="129" t="e">
        <f>Ucd()</f>
        <v>#VALUE!</v>
      </c>
      <c r="C5" s="62" t="e">
        <f>Uc(ROW())</f>
        <v>#VALUE!</v>
      </c>
      <c r="D5" s="63" t="s">
        <v>80</v>
      </c>
      <c r="E5" s="70"/>
      <c r="F5">
        <v>60</v>
      </c>
    </row>
    <row r="6" spans="1:6" ht="13.5" thickBot="1">
      <c r="A6" s="70"/>
      <c r="B6" s="126" t="e">
        <f>Ucd()</f>
        <v>#VALUE!</v>
      </c>
      <c r="C6" s="65" t="e">
        <f>Uc(ROW())</f>
        <v>#VALUE!</v>
      </c>
      <c r="D6" s="66" t="s">
        <v>82</v>
      </c>
      <c r="E6" s="70"/>
      <c r="F6">
        <v>1</v>
      </c>
    </row>
    <row r="7" spans="1:5" ht="12.75">
      <c r="A7" s="11" t="str">
        <f>Terms!$A$22</f>
        <v>UnitsCalc20050823</v>
      </c>
      <c r="B7" s="70"/>
      <c r="C7" s="70"/>
      <c r="D7" s="70"/>
      <c r="E7" s="13" t="s">
        <v>206</v>
      </c>
    </row>
  </sheetData>
  <sheetProtection sheet="1" objects="1" scenarios="1"/>
  <conditionalFormatting sqref="C3:C6">
    <cfRule type="expression" priority="1" dxfId="0" stopIfTrue="1">
      <formula>ROW()&lt;&gt;$F$1</formula>
    </cfRule>
  </conditionalFormatting>
  <conditionalFormatting sqref="B3:B6 D3:D6">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85" r:id="rId2"/>
  <headerFooter alignWithMargins="0">
    <oddFooter>&amp;L&amp;"Arial,Italic"&amp;8File: &amp;F Tab: &amp;A&amp;R&amp;"Arial,Italic"&amp;8Date Printed: &amp;D</oddFooter>
  </headerFooter>
  <legacy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G15"/>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7109375" style="0" customWidth="1"/>
    <col min="2" max="2" width="35.7109375" style="0" customWidth="1"/>
    <col min="3" max="3" width="18.7109375" style="0" customWidth="1"/>
    <col min="4" max="4" width="32.28125" style="0" customWidth="1"/>
    <col min="5" max="5" width="3.28125" style="0" customWidth="1"/>
    <col min="6" max="6" width="12.00390625" style="0" hidden="1" customWidth="1"/>
    <col min="7" max="7" width="9.140625" style="0" hidden="1" customWidth="1"/>
  </cols>
  <sheetData>
    <row r="1" spans="1:6" ht="15" customHeight="1" thickBot="1">
      <c r="A1" s="147"/>
      <c r="B1" s="36" t="s">
        <v>517</v>
      </c>
      <c r="C1" s="36"/>
      <c r="D1" s="36"/>
      <c r="E1" s="179" t="str">
        <f>Decimals!C6</f>
        <v>F</v>
      </c>
      <c r="F1" s="67">
        <v>3</v>
      </c>
    </row>
    <row r="2" spans="1:7" ht="13.5" thickBot="1">
      <c r="A2" s="70"/>
      <c r="B2" s="150" t="s">
        <v>662</v>
      </c>
      <c r="C2" s="128">
        <v>1</v>
      </c>
      <c r="D2" s="68" t="e">
        <f>Ucorig()</f>
        <v>#VALUE!</v>
      </c>
      <c r="E2" s="71"/>
      <c r="F2" s="67">
        <v>0.000190626025917927</v>
      </c>
      <c r="G2">
        <v>14</v>
      </c>
    </row>
    <row r="3" spans="1:6" ht="12.75">
      <c r="A3" s="70"/>
      <c r="B3" s="124" t="e">
        <f>Ucd()</f>
        <v>#VALUE!</v>
      </c>
      <c r="C3" s="59" t="e">
        <f>Uc(ROW())</f>
        <v>#VALUE!</v>
      </c>
      <c r="D3" s="60" t="s">
        <v>408</v>
      </c>
      <c r="E3" s="70"/>
      <c r="F3">
        <v>1</v>
      </c>
    </row>
    <row r="4" spans="1:6" ht="12.75">
      <c r="A4" s="70"/>
      <c r="B4" s="125" t="e">
        <f aca="true" t="shared" si="0" ref="B4:B14">Ucd()</f>
        <v>#VALUE!</v>
      </c>
      <c r="C4" s="62" t="e">
        <f aca="true" t="shared" si="1" ref="C4:C14">Uc(ROW())</f>
        <v>#VALUE!</v>
      </c>
      <c r="D4" s="63" t="s">
        <v>780</v>
      </c>
      <c r="E4" s="70"/>
      <c r="F4">
        <f>980.665/100000*3600*60</f>
        <v>2118.2364</v>
      </c>
    </row>
    <row r="5" spans="1:6" ht="12.75">
      <c r="A5" s="70"/>
      <c r="B5" s="125" t="e">
        <f t="shared" si="0"/>
        <v>#VALUE!</v>
      </c>
      <c r="C5" s="62" t="e">
        <f t="shared" si="1"/>
        <v>#VALUE!</v>
      </c>
      <c r="D5" s="63" t="s">
        <v>781</v>
      </c>
      <c r="E5" s="70"/>
      <c r="F5">
        <f>980.665/100000*3600</f>
        <v>35.30394</v>
      </c>
    </row>
    <row r="6" spans="1:6" ht="12.75">
      <c r="A6" s="70"/>
      <c r="B6" s="125" t="e">
        <f t="shared" si="0"/>
        <v>#VALUE!</v>
      </c>
      <c r="C6" s="62" t="e">
        <f t="shared" si="1"/>
        <v>#VALUE!</v>
      </c>
      <c r="D6" s="63" t="s">
        <v>561</v>
      </c>
      <c r="E6" s="70"/>
      <c r="F6">
        <v>9.80665</v>
      </c>
    </row>
    <row r="7" spans="1:6" ht="13.5" thickBot="1">
      <c r="A7" s="70"/>
      <c r="B7" s="125" t="e">
        <f t="shared" si="0"/>
        <v>#VALUE!</v>
      </c>
      <c r="C7" s="62" t="e">
        <f t="shared" si="1"/>
        <v>#VALUE!</v>
      </c>
      <c r="D7" s="63" t="s">
        <v>71</v>
      </c>
      <c r="E7" s="70"/>
      <c r="F7">
        <v>980.665</v>
      </c>
    </row>
    <row r="8" spans="1:6" ht="12.75">
      <c r="A8" s="70"/>
      <c r="B8" s="127" t="e">
        <f t="shared" si="0"/>
        <v>#VALUE!</v>
      </c>
      <c r="C8" s="59" t="e">
        <f t="shared" si="1"/>
        <v>#VALUE!</v>
      </c>
      <c r="D8" s="60" t="s">
        <v>562</v>
      </c>
      <c r="E8" s="70"/>
      <c r="F8">
        <f>980.665/2.54/12/5280*3600*60</f>
        <v>1316.2110773085183</v>
      </c>
    </row>
    <row r="9" spans="1:6" ht="12.75">
      <c r="A9" s="70"/>
      <c r="B9" s="125" t="e">
        <f t="shared" si="0"/>
        <v>#VALUE!</v>
      </c>
      <c r="C9" s="62" t="e">
        <f t="shared" si="1"/>
        <v>#VALUE!</v>
      </c>
      <c r="D9" s="63" t="s">
        <v>563</v>
      </c>
      <c r="E9" s="70"/>
      <c r="F9">
        <f>980.665/2.54/12/5280*3600</f>
        <v>21.936851288475303</v>
      </c>
    </row>
    <row r="10" spans="1:6" ht="12.75">
      <c r="A10" s="70"/>
      <c r="B10" s="125" t="e">
        <f t="shared" si="0"/>
        <v>#VALUE!</v>
      </c>
      <c r="C10" s="62" t="e">
        <f t="shared" si="1"/>
        <v>#VALUE!</v>
      </c>
      <c r="D10" s="63" t="s">
        <v>564</v>
      </c>
      <c r="E10" s="70"/>
      <c r="F10">
        <f>980.665/2.54/36</f>
        <v>10.72468285214348</v>
      </c>
    </row>
    <row r="11" spans="1:6" ht="12.75">
      <c r="A11" s="70"/>
      <c r="B11" s="125" t="e">
        <f t="shared" si="0"/>
        <v>#VALUE!</v>
      </c>
      <c r="C11" s="62" t="e">
        <f t="shared" si="1"/>
        <v>#VALUE!</v>
      </c>
      <c r="D11" s="63" t="s">
        <v>565</v>
      </c>
      <c r="E11" s="70"/>
      <c r="F11">
        <f>980.665/2.54/12</f>
        <v>32.17404855643044</v>
      </c>
    </row>
    <row r="12" spans="1:6" ht="13.5" thickBot="1">
      <c r="A12" s="70"/>
      <c r="B12" s="126" t="e">
        <f t="shared" si="0"/>
        <v>#VALUE!</v>
      </c>
      <c r="C12" s="65" t="e">
        <f t="shared" si="1"/>
        <v>#VALUE!</v>
      </c>
      <c r="D12" s="66" t="s">
        <v>566</v>
      </c>
      <c r="E12" s="70"/>
      <c r="F12">
        <f>980.665/2.54</f>
        <v>386.08858267716533</v>
      </c>
    </row>
    <row r="13" spans="1:6" ht="12.75">
      <c r="A13" s="70"/>
      <c r="B13" s="125" t="e">
        <f t="shared" si="0"/>
        <v>#VALUE!</v>
      </c>
      <c r="C13" s="62" t="e">
        <f t="shared" si="1"/>
        <v>#VALUE!</v>
      </c>
      <c r="D13" s="63" t="s">
        <v>567</v>
      </c>
      <c r="E13" s="70"/>
      <c r="F13">
        <f>9.80665/1852*3600</f>
        <v>19.062602591792658</v>
      </c>
    </row>
    <row r="14" spans="1:6" ht="13.5" thickBot="1">
      <c r="A14" s="70"/>
      <c r="B14" s="126" t="e">
        <f t="shared" si="0"/>
        <v>#VALUE!</v>
      </c>
      <c r="C14" s="65" t="e">
        <f t="shared" si="1"/>
        <v>#VALUE!</v>
      </c>
      <c r="D14" s="66" t="s">
        <v>568</v>
      </c>
      <c r="E14" s="70"/>
      <c r="F14">
        <f>9.80665/1853.184*3600</f>
        <v>19.05042348736013</v>
      </c>
    </row>
    <row r="15" spans="1:5" ht="12.75">
      <c r="A15" s="11" t="str">
        <f>Terms!$A$22</f>
        <v>UnitsCalc20050823</v>
      </c>
      <c r="B15" s="70"/>
      <c r="C15" s="70"/>
      <c r="D15" s="70"/>
      <c r="E15" s="13" t="s">
        <v>206</v>
      </c>
    </row>
  </sheetData>
  <sheetProtection sheet="1" objects="1" scenarios="1"/>
  <conditionalFormatting sqref="C3:C14">
    <cfRule type="expression" priority="1" dxfId="0" stopIfTrue="1">
      <formula>ROW()&lt;&gt;$F$1</formula>
    </cfRule>
  </conditionalFormatting>
  <conditionalFormatting sqref="B3:B14 D3:D14">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F1 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94" r:id="rId3"/>
  <headerFooter alignWithMargins="0">
    <oddFooter>&amp;L&amp;"Arial,Italic"&amp;8File: &amp;F Tab: &amp;A&amp;R&amp;"Arial,Italic"&amp;8Date Printed: &amp;D</oddFooter>
  </headerFooter>
  <drawing r:id="rId2"/>
  <legacyDrawing r:id="rId1"/>
</worksheet>
</file>

<file path=xl/worksheets/sheet20.xml><?xml version="1.0" encoding="utf-8"?>
<worksheet xmlns="http://schemas.openxmlformats.org/spreadsheetml/2006/main" xmlns:r="http://schemas.openxmlformats.org/officeDocument/2006/relationships">
  <sheetPr codeName="Sheet16">
    <pageSetUpPr fitToPage="1"/>
  </sheetPr>
  <dimension ref="A1:G7"/>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7109375" style="0" customWidth="1"/>
    <col min="2" max="2" width="26.8515625" style="0" customWidth="1"/>
    <col min="3" max="3" width="18.7109375" style="0" customWidth="1"/>
    <col min="4" max="4" width="25.28125" style="0" customWidth="1"/>
    <col min="5" max="5" width="3.57421875" style="0" customWidth="1"/>
    <col min="6" max="6" width="12.421875" style="0" hidden="1" customWidth="1"/>
    <col min="7" max="7" width="9.28125" style="0" hidden="1" customWidth="1"/>
  </cols>
  <sheetData>
    <row r="1" spans="1:6" ht="15" customHeight="1" thickBot="1">
      <c r="A1" s="148"/>
      <c r="B1" s="36" t="s">
        <v>641</v>
      </c>
      <c r="C1" s="36"/>
      <c r="D1" s="36"/>
      <c r="E1" s="179" t="str">
        <f>Decimals!C6</f>
        <v>F</v>
      </c>
      <c r="F1" s="67">
        <v>3</v>
      </c>
    </row>
    <row r="2" spans="1:7" ht="13.5" thickBot="1">
      <c r="A2" s="70"/>
      <c r="B2" s="150" t="s">
        <v>662</v>
      </c>
      <c r="C2" s="128">
        <v>1</v>
      </c>
      <c r="D2" s="68" t="e">
        <f>Ucorig()</f>
        <v>#VALUE!</v>
      </c>
      <c r="E2" s="71"/>
      <c r="F2" s="67">
        <v>-17.22222222222222</v>
      </c>
      <c r="G2">
        <v>5</v>
      </c>
    </row>
    <row r="3" spans="1:6" ht="12.75">
      <c r="A3" s="70"/>
      <c r="B3" s="124" t="e">
        <f>Ucd()</f>
        <v>#VALUE!</v>
      </c>
      <c r="C3" s="59">
        <f>FCK($F$1,ROW(),$C$2)</f>
        <v>1</v>
      </c>
      <c r="D3" s="60" t="s">
        <v>386</v>
      </c>
      <c r="E3" s="71"/>
      <c r="F3">
        <v>1</v>
      </c>
    </row>
    <row r="4" spans="1:6" ht="12.75">
      <c r="A4" s="70"/>
      <c r="B4" s="129" t="e">
        <f>Ucd()</f>
        <v>#VALUE!</v>
      </c>
      <c r="C4" s="62">
        <f>FCK($F$1,ROW(),$C$2)</f>
        <v>-17.2222222222222</v>
      </c>
      <c r="D4" s="63" t="s">
        <v>612</v>
      </c>
      <c r="E4" s="71"/>
      <c r="F4">
        <f>(365*24+(5+48/60+46/3600))*1000*3600*1000</f>
        <v>31556926000000</v>
      </c>
    </row>
    <row r="5" spans="1:6" ht="13.5" thickBot="1">
      <c r="A5" s="70"/>
      <c r="B5" s="130" t="e">
        <f>Ucd()</f>
        <v>#VALUE!</v>
      </c>
      <c r="C5" s="65">
        <f>FCK($F$1,ROW(),$C$2)</f>
        <v>255.927777777778</v>
      </c>
      <c r="D5" s="66" t="s">
        <v>613</v>
      </c>
      <c r="E5" s="71"/>
      <c r="F5">
        <f>F3+273.15</f>
        <v>274.15</v>
      </c>
    </row>
    <row r="6" spans="1:5" ht="12.75">
      <c r="A6" s="70"/>
      <c r="B6" s="83"/>
      <c r="C6" s="96">
        <f>IF(C5&lt;0,"NB: Kelvin values cannot be Negative","")</f>
      </c>
      <c r="D6" s="84"/>
      <c r="E6" s="71"/>
    </row>
    <row r="7" spans="1:5" ht="12.75">
      <c r="A7" s="11" t="str">
        <f>Terms!$A$22</f>
        <v>UnitsCalc20050823</v>
      </c>
      <c r="B7" s="70"/>
      <c r="C7" s="70"/>
      <c r="D7" s="70"/>
      <c r="E7" s="13" t="s">
        <v>206</v>
      </c>
    </row>
  </sheetData>
  <sheetProtection sheet="1" objects="1" scenarios="1"/>
  <conditionalFormatting sqref="C3:C4">
    <cfRule type="expression" priority="1" dxfId="0" stopIfTrue="1">
      <formula>ROW()&lt;&gt;$F$1</formula>
    </cfRule>
  </conditionalFormatting>
  <conditionalFormatting sqref="C5">
    <cfRule type="cellIs" priority="2" dxfId="2" operator="lessThan" stopIfTrue="1">
      <formula>0</formula>
    </cfRule>
    <cfRule type="expression" priority="3" dxfId="0" stopIfTrue="1">
      <formula>ROW()&lt;&gt;$F$1</formula>
    </cfRule>
  </conditionalFormatting>
  <conditionalFormatting sqref="B3:B5 D3:D5">
    <cfRule type="expression" priority="4" dxfId="1" stopIfTrue="1">
      <formula>ROW()=$F$1</formula>
    </cfRule>
  </conditionalFormatting>
  <dataValidations count="1">
    <dataValidation type="decimal" showInputMessage="1" showErrorMessage="1" errorTitle="UnitsCalc: Conversion Value" error="Input a +ve or -ve  numerical value." sqref="C2">
      <formula1>-10000000000000000000000000000000000000000000000000000000000000000000000000000000000000000000000000000</formula1>
      <formula2>1E+100</formula2>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21.xml><?xml version="1.0" encoding="utf-8"?>
<worksheet xmlns="http://schemas.openxmlformats.org/spreadsheetml/2006/main" xmlns:r="http://schemas.openxmlformats.org/officeDocument/2006/relationships">
  <sheetPr codeName="Sheet11">
    <pageSetUpPr fitToPage="1"/>
  </sheetPr>
  <dimension ref="A1:G18"/>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6.140625" style="0" customWidth="1"/>
    <col min="2" max="2" width="25.7109375" style="0" customWidth="1"/>
    <col min="3" max="4" width="18.7109375" style="0" customWidth="1"/>
    <col min="5" max="5" width="3.57421875" style="0" customWidth="1"/>
    <col min="6" max="6" width="12.421875" style="0" hidden="1" customWidth="1"/>
    <col min="7" max="7" width="9.28125" style="0" hidden="1" customWidth="1"/>
  </cols>
  <sheetData>
    <row r="1" spans="1:6" ht="15" customHeight="1" thickBot="1">
      <c r="A1" s="147"/>
      <c r="B1" s="36" t="s">
        <v>514</v>
      </c>
      <c r="C1" s="36"/>
      <c r="D1" s="36"/>
      <c r="E1" s="179" t="str">
        <f>Decimals!C6</f>
        <v>F</v>
      </c>
      <c r="F1" s="67">
        <v>3</v>
      </c>
    </row>
    <row r="2" spans="1:7" ht="13.5" thickBot="1">
      <c r="A2" s="70"/>
      <c r="B2" s="150" t="s">
        <v>662</v>
      </c>
      <c r="C2" s="128">
        <v>1</v>
      </c>
      <c r="D2" s="68" t="e">
        <f>Ucorig()</f>
        <v>#VALUE!</v>
      </c>
      <c r="E2" s="71"/>
      <c r="F2" s="67">
        <v>1</v>
      </c>
      <c r="G2">
        <v>17</v>
      </c>
    </row>
    <row r="3" spans="1:6" ht="12.75">
      <c r="A3" s="70"/>
      <c r="B3" s="124" t="e">
        <f>Ucd()</f>
        <v>#VALUE!</v>
      </c>
      <c r="C3" s="59" t="e">
        <f aca="true" t="shared" si="0" ref="C3:C17">Uc(ROW())</f>
        <v>#VALUE!</v>
      </c>
      <c r="D3" s="60" t="s">
        <v>471</v>
      </c>
      <c r="E3" s="71"/>
      <c r="F3">
        <f>(365*24+(5+48/60+45.5/3600))*1000*3600*1000000000</f>
        <v>3.1556925499999998E+19</v>
      </c>
    </row>
    <row r="4" spans="1:6" ht="12.75">
      <c r="A4" s="70"/>
      <c r="B4" s="129" t="e">
        <f aca="true" t="shared" si="1" ref="B4:B17">Ucd()</f>
        <v>#VALUE!</v>
      </c>
      <c r="C4" s="62" t="e">
        <f t="shared" si="0"/>
        <v>#VALUE!</v>
      </c>
      <c r="D4" s="63" t="s">
        <v>470</v>
      </c>
      <c r="E4" s="71"/>
      <c r="F4">
        <f>(365*24+(5+48/60+45.5/3600))*1000*3600*1000</f>
        <v>31556925499999.996</v>
      </c>
    </row>
    <row r="5" spans="1:6" ht="12.75">
      <c r="A5" s="70"/>
      <c r="B5" s="129" t="e">
        <f t="shared" si="1"/>
        <v>#VALUE!</v>
      </c>
      <c r="C5" s="62" t="e">
        <f t="shared" si="0"/>
        <v>#VALUE!</v>
      </c>
      <c r="D5" s="63" t="s">
        <v>416</v>
      </c>
      <c r="E5" s="71"/>
      <c r="F5">
        <f>(365*24+(5+48/60+45.5/3600))*1000*3600</f>
        <v>31556925499.999996</v>
      </c>
    </row>
    <row r="6" spans="1:6" ht="12.75">
      <c r="A6" s="70"/>
      <c r="B6" s="129" t="e">
        <f t="shared" si="1"/>
        <v>#VALUE!</v>
      </c>
      <c r="C6" s="62" t="e">
        <f t="shared" si="0"/>
        <v>#VALUE!</v>
      </c>
      <c r="D6" s="63" t="s">
        <v>411</v>
      </c>
      <c r="E6" s="71"/>
      <c r="F6">
        <f>(365*24+(5+48/60+45.5/3600))*1000*60</f>
        <v>525948758.33333325</v>
      </c>
    </row>
    <row r="7" spans="1:6" ht="13.5" thickBot="1">
      <c r="A7" s="70"/>
      <c r="B7" s="130" t="e">
        <f t="shared" si="1"/>
        <v>#VALUE!</v>
      </c>
      <c r="C7" s="65" t="e">
        <f t="shared" si="0"/>
        <v>#VALUE!</v>
      </c>
      <c r="D7" s="66" t="s">
        <v>468</v>
      </c>
      <c r="E7" s="71"/>
      <c r="F7">
        <f>(365*24+(5+48/60+45.5/3600))*1000</f>
        <v>8765812.638888888</v>
      </c>
    </row>
    <row r="8" spans="1:6" ht="13.5" thickBot="1">
      <c r="A8" s="70"/>
      <c r="B8" s="130" t="e">
        <f t="shared" si="1"/>
        <v>#VALUE!</v>
      </c>
      <c r="C8" s="65" t="e">
        <f t="shared" si="0"/>
        <v>#VALUE!</v>
      </c>
      <c r="D8" s="66" t="s">
        <v>465</v>
      </c>
      <c r="E8" s="71"/>
      <c r="F8">
        <f>(365+(5+48/60+45.5/3600)/24)*1000</f>
        <v>365242.193287037</v>
      </c>
    </row>
    <row r="9" spans="1:6" ht="12.75">
      <c r="A9" s="70"/>
      <c r="B9" s="124" t="e">
        <f t="shared" si="1"/>
        <v>#VALUE!</v>
      </c>
      <c r="C9" s="59" t="e">
        <f t="shared" si="0"/>
        <v>#VALUE!</v>
      </c>
      <c r="D9" s="60" t="s">
        <v>472</v>
      </c>
      <c r="E9" s="71"/>
      <c r="F9">
        <f>(365+(5+48/60+45.5/3600)/24)*1000/7</f>
        <v>52177.45618386243</v>
      </c>
    </row>
    <row r="10" spans="1:6" ht="12.75">
      <c r="A10" s="70"/>
      <c r="B10" s="129" t="e">
        <f t="shared" si="1"/>
        <v>#VALUE!</v>
      </c>
      <c r="C10" s="62" t="e">
        <f t="shared" si="0"/>
        <v>#VALUE!</v>
      </c>
      <c r="D10" s="63" t="s">
        <v>467</v>
      </c>
      <c r="E10" s="71"/>
      <c r="F10">
        <f>(365+(5+48/60+45.5/3600)/24)*1000/14</f>
        <v>26088.728091931214</v>
      </c>
    </row>
    <row r="11" spans="1:6" ht="12.75">
      <c r="A11" s="70"/>
      <c r="B11" s="129" t="e">
        <f t="shared" si="1"/>
        <v>#VALUE!</v>
      </c>
      <c r="C11" s="62" t="e">
        <f t="shared" si="0"/>
        <v>#VALUE!</v>
      </c>
      <c r="D11" s="63" t="s">
        <v>474</v>
      </c>
      <c r="E11" s="71"/>
      <c r="F11">
        <v>12000</v>
      </c>
    </row>
    <row r="12" spans="1:6" ht="12.75">
      <c r="A12" s="70"/>
      <c r="B12" s="129" t="e">
        <f t="shared" si="1"/>
        <v>#VALUE!</v>
      </c>
      <c r="C12" s="62" t="e">
        <f t="shared" si="0"/>
        <v>#VALUE!</v>
      </c>
      <c r="D12" s="63" t="s">
        <v>473</v>
      </c>
      <c r="E12" s="71"/>
      <c r="F12">
        <v>1000</v>
      </c>
    </row>
    <row r="13" spans="1:6" ht="13.5" thickBot="1">
      <c r="A13" s="70"/>
      <c r="B13" s="130" t="e">
        <f t="shared" si="1"/>
        <v>#VALUE!</v>
      </c>
      <c r="C13" s="65" t="e">
        <f t="shared" si="0"/>
        <v>#VALUE!</v>
      </c>
      <c r="D13" s="66" t="s">
        <v>466</v>
      </c>
      <c r="E13" s="71"/>
      <c r="F13">
        <v>100</v>
      </c>
    </row>
    <row r="14" spans="1:6" ht="12.75">
      <c r="A14" s="70"/>
      <c r="B14" s="124" t="e">
        <f t="shared" si="1"/>
        <v>#VALUE!</v>
      </c>
      <c r="C14" s="59" t="e">
        <f t="shared" si="0"/>
        <v>#VALUE!</v>
      </c>
      <c r="D14" s="60" t="s">
        <v>660</v>
      </c>
      <c r="E14" s="71"/>
      <c r="F14">
        <f>(365+(5+48/60+45.5/3600)/24)*1000/((((2.8/60+44)/60+12)/24)+29)</f>
        <v>12368.266888052516</v>
      </c>
    </row>
    <row r="15" spans="1:6" ht="13.5" thickBot="1">
      <c r="A15" s="70"/>
      <c r="B15" s="130" t="e">
        <f t="shared" si="1"/>
        <v>#VALUE!</v>
      </c>
      <c r="C15" s="65" t="e">
        <f t="shared" si="0"/>
        <v>#VALUE!</v>
      </c>
      <c r="D15" s="66" t="s">
        <v>661</v>
      </c>
      <c r="E15" s="71"/>
      <c r="F15">
        <f>(365+(5+48/60+45.5/3600)/24)*1000/((((2.8/60+44)/60+12)/24)+29)/12</f>
        <v>1030.6889073377097</v>
      </c>
    </row>
    <row r="16" spans="1:6" ht="12.75">
      <c r="A16" s="70"/>
      <c r="B16" s="124" t="e">
        <f t="shared" si="1"/>
        <v>#VALUE!</v>
      </c>
      <c r="C16" s="59" t="e">
        <f t="shared" si="0"/>
        <v>#VALUE!</v>
      </c>
      <c r="D16" s="60" t="s">
        <v>464</v>
      </c>
      <c r="E16" s="71"/>
      <c r="F16">
        <v>10</v>
      </c>
    </row>
    <row r="17" spans="1:6" ht="13.5" thickBot="1">
      <c r="A17" s="70"/>
      <c r="B17" s="130" t="e">
        <f t="shared" si="1"/>
        <v>#VALUE!</v>
      </c>
      <c r="C17" s="65" t="e">
        <f t="shared" si="0"/>
        <v>#VALUE!</v>
      </c>
      <c r="D17" s="66" t="s">
        <v>469</v>
      </c>
      <c r="E17" s="71"/>
      <c r="F17">
        <v>1</v>
      </c>
    </row>
    <row r="18" spans="1:5" ht="12.75">
      <c r="A18" s="11" t="str">
        <f>Terms!$A$22</f>
        <v>UnitsCalc20050823</v>
      </c>
      <c r="B18" s="70"/>
      <c r="C18" s="70"/>
      <c r="D18" s="70"/>
      <c r="E18" s="13" t="s">
        <v>206</v>
      </c>
    </row>
  </sheetData>
  <sheetProtection sheet="1" objects="1" scenarios="1"/>
  <conditionalFormatting sqref="C3:C17">
    <cfRule type="expression" priority="1" dxfId="0" stopIfTrue="1">
      <formula>ROW()&lt;&gt;$F$1</formula>
    </cfRule>
  </conditionalFormatting>
  <conditionalFormatting sqref="B3:B17 D3:D17">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22.xml><?xml version="1.0" encoding="utf-8"?>
<worksheet xmlns="http://schemas.openxmlformats.org/spreadsheetml/2006/main" xmlns:r="http://schemas.openxmlformats.org/officeDocument/2006/relationships">
  <sheetPr codeName="Sheet29">
    <pageSetUpPr fitToPage="1"/>
  </sheetPr>
  <dimension ref="A1:G13"/>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35.7109375" style="0" customWidth="1"/>
    <col min="3" max="3" width="18.7109375" style="0" customWidth="1"/>
    <col min="4" max="4" width="32.28125" style="0" customWidth="1"/>
    <col min="5" max="5" width="4.00390625" style="0" customWidth="1"/>
    <col min="6" max="6" width="12.00390625" style="0" hidden="1" customWidth="1"/>
    <col min="7" max="7" width="9.28125" style="0" hidden="1" customWidth="1"/>
  </cols>
  <sheetData>
    <row r="1" spans="1:6" ht="15" customHeight="1" thickBot="1">
      <c r="A1" s="147"/>
      <c r="B1" s="36" t="s">
        <v>99</v>
      </c>
      <c r="C1" s="36"/>
      <c r="D1" s="36"/>
      <c r="E1" s="179" t="str">
        <f>Decimals!C6</f>
        <v>F</v>
      </c>
      <c r="F1" s="67">
        <v>3</v>
      </c>
    </row>
    <row r="2" spans="1:7" ht="13.5" thickBot="1">
      <c r="A2" s="70"/>
      <c r="B2" s="150" t="s">
        <v>662</v>
      </c>
      <c r="C2" s="128">
        <v>1</v>
      </c>
      <c r="D2" s="68" t="e">
        <f>Ucorig()</f>
        <v>#VALUE!</v>
      </c>
      <c r="E2" s="71"/>
      <c r="F2" s="67">
        <v>0.22174976179603723</v>
      </c>
      <c r="G2">
        <v>12</v>
      </c>
    </row>
    <row r="3" spans="1:7" ht="12.75">
      <c r="A3" s="70"/>
      <c r="B3" s="58" t="e">
        <f>Ucd()</f>
        <v>#VALUE!</v>
      </c>
      <c r="C3" s="74" t="e">
        <f aca="true" t="shared" si="0" ref="C3:C12">Uc(ROW())</f>
        <v>#VALUE!</v>
      </c>
      <c r="D3" s="60" t="s">
        <v>96</v>
      </c>
      <c r="E3" s="71"/>
      <c r="F3">
        <f>10^6*9.80665*0.45359237*3600/0.3048^2</f>
        <v>172368932329.20905</v>
      </c>
      <c r="G3" s="46"/>
    </row>
    <row r="4" spans="1:7" ht="12.75">
      <c r="A4" s="70"/>
      <c r="B4" s="61" t="e">
        <f aca="true" t="shared" si="1" ref="B4:B12">Ucd()</f>
        <v>#VALUE!</v>
      </c>
      <c r="C4" s="62" t="e">
        <f t="shared" si="0"/>
        <v>#VALUE!</v>
      </c>
      <c r="D4" s="63" t="s">
        <v>97</v>
      </c>
      <c r="E4" s="71"/>
      <c r="F4">
        <f>9.80665*0.45359237*3600^2/0.3048^2</f>
        <v>620528156.3851525</v>
      </c>
      <c r="G4" s="46"/>
    </row>
    <row r="5" spans="1:7" ht="12.75">
      <c r="A5" s="70"/>
      <c r="B5" s="61" t="e">
        <f t="shared" si="1"/>
        <v>#VALUE!</v>
      </c>
      <c r="C5" s="62" t="e">
        <f t="shared" si="0"/>
        <v>#VALUE!</v>
      </c>
      <c r="D5" s="63" t="s">
        <v>100</v>
      </c>
      <c r="E5" s="71"/>
      <c r="F5">
        <f>1000*9.80665*0.45359237*3600/0.3048^2</f>
        <v>172368932.329209</v>
      </c>
      <c r="G5" s="46"/>
    </row>
    <row r="6" spans="1:7" ht="12.75">
      <c r="A6" s="70"/>
      <c r="B6" s="61" t="e">
        <f t="shared" si="1"/>
        <v>#VALUE!</v>
      </c>
      <c r="C6" s="72" t="e">
        <f t="shared" si="0"/>
        <v>#VALUE!</v>
      </c>
      <c r="D6" s="63" t="s">
        <v>107</v>
      </c>
      <c r="E6" s="71"/>
      <c r="F6">
        <f>10*9.80665*0.45359237*3600/0.3048^2</f>
        <v>1723689.3232920903</v>
      </c>
      <c r="G6" s="46"/>
    </row>
    <row r="7" spans="1:7" ht="12.75">
      <c r="A7" s="70"/>
      <c r="B7" s="61" t="e">
        <f t="shared" si="1"/>
        <v>#VALUE!</v>
      </c>
      <c r="C7" s="62" t="e">
        <f t="shared" si="0"/>
        <v>#VALUE!</v>
      </c>
      <c r="D7" s="63" t="s">
        <v>108</v>
      </c>
      <c r="E7" s="71"/>
      <c r="F7">
        <f>9.80665*0.45359237*3600/0.3048^2</f>
        <v>172368.932329209</v>
      </c>
      <c r="G7" s="46"/>
    </row>
    <row r="8" spans="1:7" ht="13.5" thickBot="1">
      <c r="A8" s="70"/>
      <c r="B8" s="61" t="e">
        <f t="shared" si="1"/>
        <v>#VALUE!</v>
      </c>
      <c r="C8" s="62" t="e">
        <f t="shared" si="0"/>
        <v>#VALUE!</v>
      </c>
      <c r="D8" s="63" t="s">
        <v>109</v>
      </c>
      <c r="E8" s="71"/>
      <c r="F8">
        <f>0.45359237*3600/0.3048^2</f>
        <v>17576.73949097898</v>
      </c>
      <c r="G8" s="46"/>
    </row>
    <row r="9" spans="1:7" ht="12.75">
      <c r="A9" s="70"/>
      <c r="B9" s="58" t="e">
        <f t="shared" si="1"/>
        <v>#VALUE!</v>
      </c>
      <c r="C9" s="74" t="e">
        <f t="shared" si="0"/>
        <v>#VALUE!</v>
      </c>
      <c r="D9" s="60" t="s">
        <v>98</v>
      </c>
      <c r="E9" s="71"/>
      <c r="F9">
        <f>3600*9.80665/0.3048*3600</f>
        <v>416975669.2913385</v>
      </c>
      <c r="G9" s="46"/>
    </row>
    <row r="10" spans="1:7" ht="12.75">
      <c r="A10" s="70"/>
      <c r="B10" s="61" t="e">
        <f t="shared" si="1"/>
        <v>#VALUE!</v>
      </c>
      <c r="C10" s="72" t="e">
        <f t="shared" si="0"/>
        <v>#VALUE!</v>
      </c>
      <c r="D10" s="63" t="s">
        <v>95</v>
      </c>
      <c r="E10" s="71"/>
      <c r="F10">
        <f>3600*9.80665/0.3048</f>
        <v>115826.57480314959</v>
      </c>
      <c r="G10" s="46"/>
    </row>
    <row r="11" spans="1:7" ht="12.75">
      <c r="A11" s="70"/>
      <c r="B11" s="61" t="e">
        <f t="shared" si="1"/>
        <v>#VALUE!</v>
      </c>
      <c r="C11" s="62" t="e">
        <f t="shared" si="0"/>
        <v>#VALUE!</v>
      </c>
      <c r="D11" s="63" t="s">
        <v>101</v>
      </c>
      <c r="E11" s="71"/>
      <c r="F11">
        <v>3600</v>
      </c>
      <c r="G11" s="46"/>
    </row>
    <row r="12" spans="1:7" ht="13.5" thickBot="1">
      <c r="A12" s="70"/>
      <c r="B12" s="64" t="e">
        <f t="shared" si="1"/>
        <v>#VALUE!</v>
      </c>
      <c r="C12" s="65" t="e">
        <f t="shared" si="0"/>
        <v>#VALUE!</v>
      </c>
      <c r="D12" s="66" t="s">
        <v>159</v>
      </c>
      <c r="E12" s="71"/>
      <c r="F12">
        <v>1</v>
      </c>
      <c r="G12" s="46"/>
    </row>
    <row r="13" spans="1:5" ht="12.75">
      <c r="A13" s="11" t="str">
        <f>Terms!$A$22</f>
        <v>UnitsCalc20050823</v>
      </c>
      <c r="B13" s="70"/>
      <c r="C13" s="70"/>
      <c r="D13" s="70"/>
      <c r="E13" s="13" t="s">
        <v>206</v>
      </c>
    </row>
  </sheetData>
  <sheetProtection sheet="1" objects="1" scenarios="1"/>
  <conditionalFormatting sqref="C9:C11">
    <cfRule type="expression" priority="1" dxfId="0" stopIfTrue="1">
      <formula>ROW()&lt;&gt;$F$1</formula>
    </cfRule>
  </conditionalFormatting>
  <conditionalFormatting sqref="C12 C3:C8">
    <cfRule type="expression" priority="2" dxfId="0" stopIfTrue="1">
      <formula>ROW()&lt;&gt;$F$1</formula>
    </cfRule>
  </conditionalFormatting>
  <conditionalFormatting sqref="D3:D12 B3:B12">
    <cfRule type="expression" priority="3"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92" r:id="rId3"/>
  <headerFooter alignWithMargins="0">
    <oddFooter>&amp;L&amp;"Arial,Italic"&amp;8File: &amp;F Tab: &amp;A&amp;R&amp;"Arial,Italic"&amp;8Date Printed: &amp;D</oddFooter>
  </headerFooter>
  <drawing r:id="rId2"/>
  <legacyDrawing r:id="rId1"/>
</worksheet>
</file>

<file path=xl/worksheets/sheet23.xml><?xml version="1.0" encoding="utf-8"?>
<worksheet xmlns="http://schemas.openxmlformats.org/spreadsheetml/2006/main" xmlns:r="http://schemas.openxmlformats.org/officeDocument/2006/relationships">
  <sheetPr codeName="Sheet25">
    <pageSetUpPr fitToPage="1"/>
  </sheetPr>
  <dimension ref="A1:G13"/>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30.7109375" style="0" customWidth="1"/>
    <col min="3" max="3" width="18.7109375" style="0" customWidth="1"/>
    <col min="4" max="4" width="27.28125" style="0" customWidth="1"/>
    <col min="5" max="5" width="3.8515625" style="0" customWidth="1"/>
    <col min="6" max="6" width="16.8515625" style="0" hidden="1" customWidth="1"/>
    <col min="7" max="7" width="9.140625" style="0" hidden="1" customWidth="1"/>
  </cols>
  <sheetData>
    <row r="1" spans="1:6" ht="15" customHeight="1" thickBot="1">
      <c r="A1" s="147"/>
      <c r="B1" s="36" t="s">
        <v>157</v>
      </c>
      <c r="C1" s="36"/>
      <c r="D1" s="36"/>
      <c r="E1" s="179" t="str">
        <f>Decimals!C6</f>
        <v>F</v>
      </c>
      <c r="F1" s="67">
        <v>3</v>
      </c>
    </row>
    <row r="2" spans="1:7" ht="13.5" thickBot="1">
      <c r="A2" s="70"/>
      <c r="B2" s="150" t="s">
        <v>662</v>
      </c>
      <c r="C2" s="128">
        <v>1</v>
      </c>
      <c r="D2" s="60" t="e">
        <f>Ucorig()</f>
        <v>#VALUE!</v>
      </c>
      <c r="E2" s="71"/>
      <c r="F2" s="67">
        <v>1</v>
      </c>
      <c r="G2">
        <v>12</v>
      </c>
    </row>
    <row r="3" spans="1:6" ht="12.75">
      <c r="A3" s="70"/>
      <c r="B3" s="58" t="e">
        <f>Ucd()</f>
        <v>#VALUE!</v>
      </c>
      <c r="C3" s="59" t="e">
        <f aca="true" t="shared" si="0" ref="C3:C12">Uc(ROW())</f>
        <v>#VALUE!</v>
      </c>
      <c r="D3" s="60" t="s">
        <v>117</v>
      </c>
      <c r="E3" s="70"/>
      <c r="F3">
        <f>3600*1000000</f>
        <v>3600000000</v>
      </c>
    </row>
    <row r="4" spans="1:6" ht="13.5" thickBot="1">
      <c r="A4" s="70"/>
      <c r="B4" s="80" t="e">
        <f aca="true" t="shared" si="1" ref="B4:B12">Ucd()</f>
        <v>#VALUE!</v>
      </c>
      <c r="C4" s="62" t="e">
        <f t="shared" si="0"/>
        <v>#VALUE!</v>
      </c>
      <c r="D4" s="63" t="s">
        <v>116</v>
      </c>
      <c r="E4" s="70"/>
      <c r="F4">
        <v>1000000</v>
      </c>
    </row>
    <row r="5" spans="1:6" ht="12.75">
      <c r="A5" s="70"/>
      <c r="B5" s="58" t="e">
        <f t="shared" si="1"/>
        <v>#VALUE!</v>
      </c>
      <c r="C5" s="59" t="e">
        <f t="shared" si="0"/>
        <v>#VALUE!</v>
      </c>
      <c r="D5" s="60" t="s">
        <v>115</v>
      </c>
      <c r="E5" s="70"/>
      <c r="F5">
        <f>3600*10000</f>
        <v>36000000</v>
      </c>
    </row>
    <row r="6" spans="1:6" ht="13.5" thickBot="1">
      <c r="A6" s="70"/>
      <c r="B6" s="80" t="e">
        <f t="shared" si="1"/>
        <v>#VALUE!</v>
      </c>
      <c r="C6" s="62" t="e">
        <f t="shared" si="0"/>
        <v>#VALUE!</v>
      </c>
      <c r="D6" s="63" t="s">
        <v>114</v>
      </c>
      <c r="E6" s="70"/>
      <c r="F6">
        <v>10000</v>
      </c>
    </row>
    <row r="7" spans="1:6" ht="12.75">
      <c r="A7" s="70"/>
      <c r="B7" s="58" t="e">
        <f t="shared" si="1"/>
        <v>#VALUE!</v>
      </c>
      <c r="C7" s="59" t="e">
        <f t="shared" si="0"/>
        <v>#VALUE!</v>
      </c>
      <c r="D7" s="60" t="s">
        <v>113</v>
      </c>
      <c r="E7" s="70"/>
      <c r="F7">
        <v>3600</v>
      </c>
    </row>
    <row r="8" spans="1:6" ht="13.5" thickBot="1">
      <c r="A8" s="70"/>
      <c r="B8" s="81" t="e">
        <f t="shared" si="1"/>
        <v>#VALUE!</v>
      </c>
      <c r="C8" s="65" t="e">
        <f t="shared" si="0"/>
        <v>#VALUE!</v>
      </c>
      <c r="D8" s="66" t="s">
        <v>112</v>
      </c>
      <c r="E8" s="70"/>
      <c r="F8">
        <v>1</v>
      </c>
    </row>
    <row r="9" spans="1:6" ht="12.75">
      <c r="A9" s="70"/>
      <c r="B9" s="58" t="e">
        <f t="shared" si="1"/>
        <v>#VALUE!</v>
      </c>
      <c r="C9" s="59" t="e">
        <f t="shared" si="0"/>
        <v>#VALUE!</v>
      </c>
      <c r="D9" s="60" t="s">
        <v>121</v>
      </c>
      <c r="E9" s="70"/>
      <c r="F9">
        <f>1000000/25.4/25.4*3600</f>
        <v>5580011.160022321</v>
      </c>
    </row>
    <row r="10" spans="1:6" ht="13.5" thickBot="1">
      <c r="A10" s="70"/>
      <c r="B10" s="81" t="e">
        <f t="shared" si="1"/>
        <v>#VALUE!</v>
      </c>
      <c r="C10" s="65" t="e">
        <f t="shared" si="0"/>
        <v>#VALUE!</v>
      </c>
      <c r="D10" s="66" t="s">
        <v>120</v>
      </c>
      <c r="E10" s="70"/>
      <c r="F10">
        <f>1000000/25.4/25.4</f>
        <v>1550.0031000062004</v>
      </c>
    </row>
    <row r="11" spans="1:6" ht="12.75">
      <c r="A11" s="70"/>
      <c r="B11" s="58" t="e">
        <f t="shared" si="1"/>
        <v>#VALUE!</v>
      </c>
      <c r="C11" s="59" t="e">
        <f t="shared" si="0"/>
        <v>#VALUE!</v>
      </c>
      <c r="D11" s="60" t="s">
        <v>118</v>
      </c>
      <c r="E11" s="70"/>
      <c r="F11">
        <f>1000000/304.8/304.8*3600</f>
        <v>38750.077500155</v>
      </c>
    </row>
    <row r="12" spans="1:6" ht="13.5" thickBot="1">
      <c r="A12" s="70"/>
      <c r="B12" s="64" t="e">
        <f t="shared" si="1"/>
        <v>#VALUE!</v>
      </c>
      <c r="C12" s="65" t="e">
        <f t="shared" si="0"/>
        <v>#VALUE!</v>
      </c>
      <c r="D12" s="66" t="s">
        <v>119</v>
      </c>
      <c r="E12" s="70"/>
      <c r="F12">
        <f>1000000/304.8/304.8</f>
        <v>10.763910416709722</v>
      </c>
    </row>
    <row r="13" spans="1:5" ht="12.75">
      <c r="A13" s="11" t="str">
        <f>Terms!$A$22</f>
        <v>UnitsCalc20050823</v>
      </c>
      <c r="B13" s="70"/>
      <c r="C13" s="70"/>
      <c r="D13" s="70"/>
      <c r="E13" s="13" t="s">
        <v>206</v>
      </c>
    </row>
  </sheetData>
  <sheetProtection sheet="1" objects="1" scenarios="1"/>
  <conditionalFormatting sqref="C3:C12">
    <cfRule type="expression" priority="1" dxfId="0" stopIfTrue="1">
      <formula>ROW()&lt;&gt;$F$1</formula>
    </cfRule>
  </conditionalFormatting>
  <conditionalFormatting sqref="D3:D12 B3:B12">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A1:G40"/>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7109375" style="0" customWidth="1"/>
    <col min="2" max="2" width="30.7109375" style="0" customWidth="1"/>
    <col min="3" max="3" width="18.7109375" style="0" customWidth="1"/>
    <col min="4" max="4" width="19.57421875" style="0" customWidth="1"/>
    <col min="5" max="5" width="3.8515625" style="0" customWidth="1"/>
    <col min="6" max="7" width="12.421875" style="0" hidden="1" customWidth="1"/>
  </cols>
  <sheetData>
    <row r="1" spans="1:6" ht="15" customHeight="1" thickBot="1">
      <c r="A1" s="148"/>
      <c r="B1" s="36" t="s">
        <v>515</v>
      </c>
      <c r="C1" s="36"/>
      <c r="D1" s="36"/>
      <c r="E1" s="179" t="str">
        <f>Decimals!C6</f>
        <v>F</v>
      </c>
      <c r="F1" s="67">
        <v>3</v>
      </c>
    </row>
    <row r="2" spans="1:7" ht="13.5" thickBot="1">
      <c r="A2" s="70"/>
      <c r="B2" s="150" t="s">
        <v>662</v>
      </c>
      <c r="C2" s="128">
        <v>1</v>
      </c>
      <c r="D2" s="68" t="e">
        <f>Ucorig()</f>
        <v>#VALUE!</v>
      </c>
      <c r="E2" s="71"/>
      <c r="F2" s="67">
        <v>1</v>
      </c>
      <c r="G2">
        <v>39</v>
      </c>
    </row>
    <row r="3" spans="1:6" ht="12.75">
      <c r="A3" s="70"/>
      <c r="B3" s="61" t="e">
        <f>Ucd()</f>
        <v>#VALUE!</v>
      </c>
      <c r="C3" s="72" t="e">
        <f aca="true" t="shared" si="0" ref="C3:C39">Uc(ROW())</f>
        <v>#VALUE!</v>
      </c>
      <c r="D3" s="63" t="s">
        <v>366</v>
      </c>
      <c r="E3" s="71"/>
      <c r="F3">
        <f>F8*1000000^3</f>
        <v>4.1681818254405786E+18</v>
      </c>
    </row>
    <row r="4" spans="1:6" ht="12.75">
      <c r="A4" s="70"/>
      <c r="B4" s="61" t="e">
        <f aca="true" t="shared" si="1" ref="B4:B39">Ucd()</f>
        <v>#VALUE!</v>
      </c>
      <c r="C4" s="72" t="e">
        <f t="shared" si="0"/>
        <v>#VALUE!</v>
      </c>
      <c r="D4" s="63" t="s">
        <v>192</v>
      </c>
      <c r="E4" s="71"/>
      <c r="F4">
        <f>F8*100000^3</f>
        <v>4168181825440578.5</v>
      </c>
    </row>
    <row r="5" spans="1:6" ht="12.75">
      <c r="A5" s="70"/>
      <c r="B5" s="61" t="e">
        <f t="shared" si="1"/>
        <v>#VALUE!</v>
      </c>
      <c r="C5" s="72" t="e">
        <f t="shared" si="0"/>
        <v>#VALUE!</v>
      </c>
      <c r="D5" s="63" t="s">
        <v>367</v>
      </c>
      <c r="E5" s="71"/>
      <c r="F5">
        <f>F8*10000^3</f>
        <v>4168181825440.5786</v>
      </c>
    </row>
    <row r="6" spans="1:6" ht="12.75">
      <c r="A6" s="70"/>
      <c r="B6" s="61" t="e">
        <f t="shared" si="1"/>
        <v>#VALUE!</v>
      </c>
      <c r="C6" s="72" t="e">
        <f t="shared" si="0"/>
        <v>#VALUE!</v>
      </c>
      <c r="D6" s="63" t="s">
        <v>368</v>
      </c>
      <c r="E6" s="71"/>
      <c r="F6">
        <f>F8*1000^3</f>
        <v>4168181825.4405785</v>
      </c>
    </row>
    <row r="7" spans="1:6" ht="12.75">
      <c r="A7" s="70"/>
      <c r="B7" s="61" t="e">
        <f t="shared" si="1"/>
        <v>#VALUE!</v>
      </c>
      <c r="C7" s="72" t="e">
        <f t="shared" si="0"/>
        <v>#VALUE!</v>
      </c>
      <c r="D7" s="63" t="s">
        <v>369</v>
      </c>
      <c r="E7" s="71"/>
      <c r="F7">
        <f>F8*10^3</f>
        <v>4168.181825440579</v>
      </c>
    </row>
    <row r="8" spans="1:6" ht="13.5" thickBot="1">
      <c r="A8" s="70"/>
      <c r="B8" s="61" t="e">
        <f t="shared" si="1"/>
        <v>#VALUE!</v>
      </c>
      <c r="C8" s="72" t="e">
        <f t="shared" si="0"/>
        <v>#VALUE!</v>
      </c>
      <c r="D8" s="63" t="s">
        <v>370</v>
      </c>
      <c r="E8" s="71"/>
      <c r="F8">
        <f>(63.36*0.0254)^3</f>
        <v>4.168181825440579</v>
      </c>
    </row>
    <row r="9" spans="1:6" ht="13.5" thickBot="1">
      <c r="A9" s="70"/>
      <c r="B9" s="69" t="e">
        <f t="shared" si="1"/>
        <v>#VALUE!</v>
      </c>
      <c r="C9" s="73" t="e">
        <f t="shared" si="0"/>
        <v>#VALUE!</v>
      </c>
      <c r="D9" s="68" t="s">
        <v>656</v>
      </c>
      <c r="E9" s="71"/>
      <c r="F9">
        <f>F8*1000^3</f>
        <v>4168181825.4405785</v>
      </c>
    </row>
    <row r="10" spans="1:6" ht="12.75">
      <c r="A10" s="70"/>
      <c r="B10" s="58" t="e">
        <f t="shared" si="1"/>
        <v>#VALUE!</v>
      </c>
      <c r="C10" s="74" t="e">
        <f t="shared" si="0"/>
        <v>#VALUE!</v>
      </c>
      <c r="D10" s="60" t="s">
        <v>77</v>
      </c>
      <c r="E10" s="71"/>
      <c r="F10">
        <f>F15*1000000</f>
        <v>4168181825440578.5</v>
      </c>
    </row>
    <row r="11" spans="1:6" ht="12.75">
      <c r="A11" s="70"/>
      <c r="B11" s="61" t="e">
        <f t="shared" si="1"/>
        <v>#VALUE!</v>
      </c>
      <c r="C11" s="72" t="e">
        <f t="shared" si="0"/>
        <v>#VALUE!</v>
      </c>
      <c r="D11" s="63" t="s">
        <v>437</v>
      </c>
      <c r="E11" s="71"/>
      <c r="F11">
        <f>F15*100000</f>
        <v>416818182544057.9</v>
      </c>
    </row>
    <row r="12" spans="1:6" ht="12.75">
      <c r="A12" s="70"/>
      <c r="B12" s="61" t="e">
        <f t="shared" si="1"/>
        <v>#VALUE!</v>
      </c>
      <c r="C12" s="72" t="e">
        <f t="shared" si="0"/>
        <v>#VALUE!</v>
      </c>
      <c r="D12" s="63" t="s">
        <v>438</v>
      </c>
      <c r="E12" s="71"/>
      <c r="F12">
        <f>F15*10000</f>
        <v>41681818254405.78</v>
      </c>
    </row>
    <row r="13" spans="1:6" ht="12.75">
      <c r="A13" s="70"/>
      <c r="B13" s="61" t="e">
        <f t="shared" si="1"/>
        <v>#VALUE!</v>
      </c>
      <c r="C13" s="72" t="e">
        <f t="shared" si="0"/>
        <v>#VALUE!</v>
      </c>
      <c r="D13" s="63" t="s">
        <v>442</v>
      </c>
      <c r="E13" s="71"/>
      <c r="F13">
        <f>F15*1000</f>
        <v>4168181825440.5786</v>
      </c>
    </row>
    <row r="14" spans="1:6" ht="12.75">
      <c r="A14" s="70"/>
      <c r="B14" s="61" t="e">
        <f t="shared" si="1"/>
        <v>#VALUE!</v>
      </c>
      <c r="C14" s="72" t="e">
        <f t="shared" si="0"/>
        <v>#VALUE!</v>
      </c>
      <c r="D14" s="63" t="s">
        <v>444</v>
      </c>
      <c r="E14" s="71"/>
      <c r="F14">
        <f>F15*10</f>
        <v>41681818254.405785</v>
      </c>
    </row>
    <row r="15" spans="1:6" ht="13.5" thickBot="1">
      <c r="A15" s="70"/>
      <c r="B15" s="64" t="e">
        <f t="shared" si="1"/>
        <v>#VALUE!</v>
      </c>
      <c r="C15" s="75" t="e">
        <f t="shared" si="0"/>
        <v>#VALUE!</v>
      </c>
      <c r="D15" s="66" t="s">
        <v>443</v>
      </c>
      <c r="E15" s="71"/>
      <c r="F15">
        <f>(63.36*25.4)^3</f>
        <v>4168181825.4405785</v>
      </c>
    </row>
    <row r="16" spans="1:6" ht="12.75">
      <c r="A16" s="70"/>
      <c r="B16" s="58" t="e">
        <f t="shared" si="1"/>
        <v>#VALUE!</v>
      </c>
      <c r="C16" s="74" t="e">
        <f t="shared" si="0"/>
        <v>#VALUE!</v>
      </c>
      <c r="D16" s="63" t="s">
        <v>371</v>
      </c>
      <c r="E16" s="71"/>
      <c r="F16">
        <f>63360^3</f>
        <v>254358061056000</v>
      </c>
    </row>
    <row r="17" spans="1:6" ht="12.75">
      <c r="A17" s="70"/>
      <c r="B17" s="61" t="e">
        <f t="shared" si="1"/>
        <v>#VALUE!</v>
      </c>
      <c r="C17" s="72" t="e">
        <f t="shared" si="0"/>
        <v>#VALUE!</v>
      </c>
      <c r="D17" s="63" t="s">
        <v>372</v>
      </c>
      <c r="E17" s="71"/>
      <c r="F17">
        <f>5280^3</f>
        <v>147197952000</v>
      </c>
    </row>
    <row r="18" spans="1:6" ht="12.75">
      <c r="A18" s="70"/>
      <c r="B18" s="61" t="e">
        <f t="shared" si="1"/>
        <v>#VALUE!</v>
      </c>
      <c r="C18" s="72" t="e">
        <f t="shared" si="0"/>
        <v>#VALUE!</v>
      </c>
      <c r="D18" s="63" t="s">
        <v>373</v>
      </c>
      <c r="E18" s="71"/>
      <c r="F18">
        <f>1760^3</f>
        <v>5451776000</v>
      </c>
    </row>
    <row r="19" spans="1:6" ht="12.75">
      <c r="A19" s="70"/>
      <c r="B19" s="61" t="e">
        <f t="shared" si="1"/>
        <v>#VALUE!</v>
      </c>
      <c r="C19" s="72" t="e">
        <f t="shared" si="0"/>
        <v>#VALUE!</v>
      </c>
      <c r="D19" s="63" t="s">
        <v>374</v>
      </c>
      <c r="E19" s="71"/>
      <c r="F19">
        <f>8^3</f>
        <v>512</v>
      </c>
    </row>
    <row r="20" spans="1:6" ht="13.5" thickBot="1">
      <c r="A20" s="70"/>
      <c r="B20" s="61" t="e">
        <f t="shared" si="1"/>
        <v>#VALUE!</v>
      </c>
      <c r="C20" s="72" t="e">
        <f t="shared" si="0"/>
        <v>#VALUE!</v>
      </c>
      <c r="D20" s="63" t="s">
        <v>375</v>
      </c>
      <c r="E20" s="71"/>
      <c r="F20">
        <v>1</v>
      </c>
    </row>
    <row r="21" spans="1:6" ht="12.75">
      <c r="A21" s="70"/>
      <c r="B21" s="58" t="e">
        <f t="shared" si="1"/>
        <v>#VALUE!</v>
      </c>
      <c r="C21" s="74" t="e">
        <f t="shared" si="0"/>
        <v>#VALUE!</v>
      </c>
      <c r="D21" s="60" t="s">
        <v>448</v>
      </c>
      <c r="E21" s="71"/>
      <c r="F21">
        <f>5*F22</f>
        <v>146699191727200.62</v>
      </c>
    </row>
    <row r="22" spans="1:6" ht="12.75">
      <c r="A22" s="70"/>
      <c r="B22" s="61" t="e">
        <f t="shared" si="1"/>
        <v>#VALUE!</v>
      </c>
      <c r="C22" s="72" t="e">
        <f t="shared" si="0"/>
        <v>#VALUE!</v>
      </c>
      <c r="D22" s="63" t="s">
        <v>447</v>
      </c>
      <c r="E22" s="71"/>
      <c r="F22">
        <f>4*F23</f>
        <v>29339838345440.125</v>
      </c>
    </row>
    <row r="23" spans="1:6" ht="12.75">
      <c r="A23" s="70"/>
      <c r="B23" s="61" t="e">
        <f t="shared" si="1"/>
        <v>#VALUE!</v>
      </c>
      <c r="C23" s="72" t="e">
        <f t="shared" si="0"/>
        <v>#VALUE!</v>
      </c>
      <c r="D23" s="63" t="s">
        <v>446</v>
      </c>
      <c r="E23" s="71"/>
      <c r="F23">
        <f>2*F24</f>
        <v>7334959586360.031</v>
      </c>
    </row>
    <row r="24" spans="1:6" ht="12.75">
      <c r="A24" s="70"/>
      <c r="B24" s="61" t="e">
        <f t="shared" si="1"/>
        <v>#VALUE!</v>
      </c>
      <c r="C24" s="72" t="e">
        <f t="shared" si="0"/>
        <v>#VALUE!</v>
      </c>
      <c r="D24" s="63" t="s">
        <v>445</v>
      </c>
      <c r="E24" s="71"/>
      <c r="F24">
        <f>4*F25</f>
        <v>3667479793180.0156</v>
      </c>
    </row>
    <row r="25" spans="1:6" ht="12.75">
      <c r="A25" s="70"/>
      <c r="B25" s="61" t="e">
        <f t="shared" si="1"/>
        <v>#VALUE!</v>
      </c>
      <c r="C25" s="72" t="e">
        <f t="shared" si="0"/>
        <v>#VALUE!</v>
      </c>
      <c r="D25" s="63" t="s">
        <v>449</v>
      </c>
      <c r="E25" s="71"/>
      <c r="F25">
        <f>2*F26</f>
        <v>916869948295.0039</v>
      </c>
    </row>
    <row r="26" spans="1:6" ht="12.75">
      <c r="A26" s="70"/>
      <c r="B26" s="61" t="e">
        <f t="shared" si="1"/>
        <v>#VALUE!</v>
      </c>
      <c r="C26" s="72" t="e">
        <f t="shared" si="0"/>
        <v>#VALUE!</v>
      </c>
      <c r="D26" s="63" t="s">
        <v>450</v>
      </c>
      <c r="E26" s="71"/>
      <c r="F26">
        <f>4*F27</f>
        <v>458434974147.50195</v>
      </c>
    </row>
    <row r="27" spans="1:6" ht="13.5" thickBot="1">
      <c r="A27" s="70"/>
      <c r="B27" s="64" t="e">
        <f t="shared" si="1"/>
        <v>#VALUE!</v>
      </c>
      <c r="C27" s="75" t="e">
        <f t="shared" si="0"/>
        <v>#VALUE!</v>
      </c>
      <c r="D27" s="66" t="s">
        <v>451</v>
      </c>
      <c r="E27" s="71"/>
      <c r="F27">
        <f>63360^3/2219.36</f>
        <v>114608743536.87549</v>
      </c>
    </row>
    <row r="28" spans="1:6" ht="12.75">
      <c r="A28" s="70"/>
      <c r="B28" s="58" t="e">
        <f t="shared" si="1"/>
        <v>#VALUE!</v>
      </c>
      <c r="C28" s="74" t="e">
        <f t="shared" si="0"/>
        <v>#VALUE!</v>
      </c>
      <c r="D28" s="60" t="s">
        <v>456</v>
      </c>
      <c r="E28" s="71"/>
      <c r="F28">
        <f>F35*32256</f>
        <v>845657969225142.9</v>
      </c>
    </row>
    <row r="29" spans="1:6" ht="12.75">
      <c r="A29" s="70"/>
      <c r="B29" s="61" t="e">
        <f t="shared" si="1"/>
        <v>#VALUE!</v>
      </c>
      <c r="C29" s="72" t="e">
        <f t="shared" si="0"/>
        <v>#VALUE!</v>
      </c>
      <c r="D29" s="63" t="s">
        <v>455</v>
      </c>
      <c r="E29" s="71"/>
      <c r="F29">
        <f>F35*10752</f>
        <v>281885989741714.25</v>
      </c>
    </row>
    <row r="30" spans="1:6" ht="12.75">
      <c r="A30" s="70"/>
      <c r="B30" s="61" t="e">
        <f t="shared" si="1"/>
        <v>#VALUE!</v>
      </c>
      <c r="C30" s="72" t="e">
        <f t="shared" si="0"/>
        <v>#VALUE!</v>
      </c>
      <c r="D30" s="63" t="s">
        <v>457</v>
      </c>
      <c r="E30" s="71"/>
      <c r="F30">
        <f>F35*5376</f>
        <v>140942994870857.12</v>
      </c>
    </row>
    <row r="31" spans="1:6" ht="12.75">
      <c r="A31" s="70"/>
      <c r="B31" s="61" t="e">
        <f t="shared" si="1"/>
        <v>#VALUE!</v>
      </c>
      <c r="C31" s="72" t="e">
        <f t="shared" si="0"/>
        <v>#VALUE!</v>
      </c>
      <c r="D31" s="63" t="s">
        <v>458</v>
      </c>
      <c r="E31" s="71"/>
      <c r="F31">
        <f>F35*672</f>
        <v>17617874358857.14</v>
      </c>
    </row>
    <row r="32" spans="1:6" ht="12.75">
      <c r="A32" s="70"/>
      <c r="B32" s="61" t="e">
        <f t="shared" si="1"/>
        <v>#VALUE!</v>
      </c>
      <c r="C32" s="72" t="e">
        <f t="shared" si="0"/>
        <v>#VALUE!</v>
      </c>
      <c r="D32" s="63" t="s">
        <v>452</v>
      </c>
      <c r="E32" s="71"/>
      <c r="F32">
        <f>F35*336</f>
        <v>8808937179428.57</v>
      </c>
    </row>
    <row r="33" spans="1:6" ht="12.75">
      <c r="A33" s="70"/>
      <c r="B33" s="61" t="e">
        <f t="shared" si="1"/>
        <v>#VALUE!</v>
      </c>
      <c r="C33" s="72" t="e">
        <f t="shared" si="0"/>
        <v>#VALUE!</v>
      </c>
      <c r="D33" s="63" t="s">
        <v>453</v>
      </c>
      <c r="E33" s="71"/>
      <c r="F33">
        <f>F35*168</f>
        <v>4404468589714.285</v>
      </c>
    </row>
    <row r="34" spans="1:6" ht="12.75">
      <c r="A34" s="70"/>
      <c r="B34" s="61" t="e">
        <f t="shared" si="1"/>
        <v>#VALUE!</v>
      </c>
      <c r="C34" s="72" t="e">
        <f t="shared" si="0"/>
        <v>#VALUE!</v>
      </c>
      <c r="D34" s="63" t="s">
        <v>454</v>
      </c>
      <c r="E34" s="71"/>
      <c r="F34">
        <f>F35*42</f>
        <v>1101117147428.5713</v>
      </c>
    </row>
    <row r="35" spans="1:6" ht="13.5" thickBot="1">
      <c r="A35" s="70"/>
      <c r="B35" s="64" t="e">
        <f t="shared" si="1"/>
        <v>#VALUE!</v>
      </c>
      <c r="C35" s="75" t="e">
        <f t="shared" si="0"/>
        <v>#VALUE!</v>
      </c>
      <c r="D35" s="66" t="s">
        <v>463</v>
      </c>
      <c r="E35" s="71"/>
      <c r="F35">
        <f>63360^3/42/231</f>
        <v>26217074938.77551</v>
      </c>
    </row>
    <row r="36" spans="1:6" ht="12.75">
      <c r="A36" s="70"/>
      <c r="B36" s="61" t="e">
        <f t="shared" si="1"/>
        <v>#VALUE!</v>
      </c>
      <c r="C36" s="72" t="e">
        <f t="shared" si="0"/>
        <v>#VALUE!</v>
      </c>
      <c r="D36" s="63" t="s">
        <v>459</v>
      </c>
      <c r="E36" s="71"/>
      <c r="F36">
        <f>2*F37</f>
        <v>7570180388571.429</v>
      </c>
    </row>
    <row r="37" spans="1:6" ht="12.75">
      <c r="A37" s="70"/>
      <c r="B37" s="61" t="e">
        <f t="shared" si="1"/>
        <v>#VALUE!</v>
      </c>
      <c r="C37" s="72" t="e">
        <f t="shared" si="0"/>
        <v>#VALUE!</v>
      </c>
      <c r="D37" s="63" t="s">
        <v>460</v>
      </c>
      <c r="E37" s="71"/>
      <c r="F37">
        <f>8*F38</f>
        <v>3785090194285.7144</v>
      </c>
    </row>
    <row r="38" spans="1:6" ht="12.75">
      <c r="A38" s="70"/>
      <c r="B38" s="61" t="e">
        <f t="shared" si="1"/>
        <v>#VALUE!</v>
      </c>
      <c r="C38" s="72" t="e">
        <f t="shared" si="0"/>
        <v>#VALUE!</v>
      </c>
      <c r="D38" s="63" t="s">
        <v>462</v>
      </c>
      <c r="E38" s="71"/>
      <c r="F38">
        <f>4*F39</f>
        <v>473136274285.7143</v>
      </c>
    </row>
    <row r="39" spans="1:6" ht="13.5" thickBot="1">
      <c r="A39" s="70"/>
      <c r="B39" s="64" t="e">
        <f t="shared" si="1"/>
        <v>#VALUE!</v>
      </c>
      <c r="C39" s="75" t="e">
        <f t="shared" si="0"/>
        <v>#VALUE!</v>
      </c>
      <c r="D39" s="66" t="s">
        <v>461</v>
      </c>
      <c r="E39" s="71"/>
      <c r="F39">
        <f>63360^3/2150.4</f>
        <v>118284068571.42857</v>
      </c>
    </row>
    <row r="40" spans="1:5" ht="12.75">
      <c r="A40" s="11" t="str">
        <f>Terms!$A$22</f>
        <v>UnitsCalc20050823</v>
      </c>
      <c r="B40" s="70"/>
      <c r="C40" s="70"/>
      <c r="D40" s="70"/>
      <c r="E40" s="13" t="s">
        <v>206</v>
      </c>
    </row>
  </sheetData>
  <sheetProtection sheet="1" objects="1" scenarios="1"/>
  <conditionalFormatting sqref="C3:C39">
    <cfRule type="expression" priority="1" dxfId="0" stopIfTrue="1">
      <formula>ROW()&lt;&gt;$F$1</formula>
    </cfRule>
  </conditionalFormatting>
  <conditionalFormatting sqref="B3:B39 D3:D39">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25.xml><?xml version="1.0" encoding="utf-8"?>
<worksheet xmlns="http://schemas.openxmlformats.org/spreadsheetml/2006/main" xmlns:r="http://schemas.openxmlformats.org/officeDocument/2006/relationships">
  <sheetPr codeName="Sheet30">
    <pageSetUpPr fitToPage="1"/>
  </sheetPr>
  <dimension ref="A1:G10"/>
  <sheetViews>
    <sheetView showGridLines="0" showRowColHeaders="0" workbookViewId="0" topLeftCell="A1">
      <selection activeCell="A2" sqref="A2"/>
    </sheetView>
  </sheetViews>
  <sheetFormatPr defaultColWidth="9.140625" defaultRowHeight="12.75"/>
  <cols>
    <col min="1" max="1" width="3.57421875" style="0" customWidth="1"/>
    <col min="2" max="2" width="8.28125" style="0" customWidth="1"/>
    <col min="3" max="3" width="18.7109375" style="0" customWidth="1"/>
    <col min="4" max="4" width="41.28125" style="0" customWidth="1"/>
    <col min="5" max="5" width="3.421875" style="0" customWidth="1"/>
    <col min="6" max="6" width="9.140625" style="0" hidden="1" customWidth="1"/>
    <col min="7" max="7" width="15.140625" style="0" hidden="1" customWidth="1"/>
  </cols>
  <sheetData>
    <row r="1" spans="1:7" ht="13.5" thickBot="1">
      <c r="A1" s="34"/>
      <c r="B1" s="34"/>
      <c r="C1" s="34"/>
      <c r="D1" s="34"/>
      <c r="E1" s="34"/>
      <c r="G1" s="67">
        <v>1</v>
      </c>
    </row>
    <row r="2" spans="1:7" ht="19.5" customHeight="1">
      <c r="A2" s="34"/>
      <c r="B2" s="156" t="s">
        <v>144</v>
      </c>
      <c r="C2" s="157"/>
      <c r="D2" s="158"/>
      <c r="E2" s="34"/>
      <c r="G2" s="67">
        <v>9</v>
      </c>
    </row>
    <row r="3" spans="1:7" ht="18" customHeight="1">
      <c r="A3" s="34"/>
      <c r="B3" s="163" t="s">
        <v>6</v>
      </c>
      <c r="C3" s="161"/>
      <c r="D3" s="162"/>
      <c r="E3" s="34"/>
      <c r="G3" s="67">
        <v>5</v>
      </c>
    </row>
    <row r="4" spans="1:7" ht="38.25" customHeight="1" thickBot="1">
      <c r="A4" s="34"/>
      <c r="B4" s="154"/>
      <c r="C4" s="153"/>
      <c r="D4" s="151" t="str">
        <f>G4</f>
        <v>Speed</v>
      </c>
      <c r="E4" s="34"/>
      <c r="G4" s="67" t="s">
        <v>637</v>
      </c>
    </row>
    <row r="5" spans="1:7" ht="15">
      <c r="A5" s="43"/>
      <c r="B5" s="154"/>
      <c r="C5" s="166" t="s">
        <v>7</v>
      </c>
      <c r="D5" s="180">
        <f>IF(G1=2," Upper Value: "&amp;TEXT(10^G5,"#,### "),"")</f>
      </c>
      <c r="E5" s="34"/>
      <c r="G5" s="67">
        <v>12</v>
      </c>
    </row>
    <row r="6" spans="1:5" ht="15.75" thickBot="1">
      <c r="A6" s="43"/>
      <c r="B6" s="154"/>
      <c r="C6" s="167" t="str">
        <f>IF(G1=2,G3,"F")</f>
        <v>F</v>
      </c>
      <c r="D6" s="181">
        <f>IF(G1=2," Lower Value: "&amp;1/10^C6,"")</f>
      </c>
      <c r="E6" s="34"/>
    </row>
    <row r="7" spans="1:5" ht="15">
      <c r="A7" s="43"/>
      <c r="B7" s="164" t="s">
        <v>83</v>
      </c>
      <c r="C7" s="152"/>
      <c r="D7" s="151"/>
      <c r="E7" s="34"/>
    </row>
    <row r="8" spans="1:5" ht="15">
      <c r="A8" s="43"/>
      <c r="B8" s="154" t="s">
        <v>220</v>
      </c>
      <c r="C8" s="152"/>
      <c r="D8" s="151"/>
      <c r="E8" s="34"/>
    </row>
    <row r="9" spans="1:5" ht="15.75" thickBot="1">
      <c r="A9" s="43"/>
      <c r="B9" s="155" t="s">
        <v>219</v>
      </c>
      <c r="C9" s="159"/>
      <c r="D9" s="160"/>
      <c r="E9" s="34"/>
    </row>
    <row r="10" spans="1:5" ht="12.75">
      <c r="A10" s="11" t="str">
        <f>Terms!$A$22</f>
        <v>UnitsCalc20050823</v>
      </c>
      <c r="B10" s="34"/>
      <c r="C10" s="34"/>
      <c r="D10" s="34"/>
      <c r="E10" s="13" t="s">
        <v>206</v>
      </c>
    </row>
  </sheetData>
  <sheetProtection sheet="1" objects="1" scenarios="1"/>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26.xml><?xml version="1.0" encoding="utf-8"?>
<worksheet xmlns="http://schemas.openxmlformats.org/spreadsheetml/2006/main" xmlns:r="http://schemas.openxmlformats.org/officeDocument/2006/relationships">
  <sheetPr codeName="Sheet12"/>
  <dimension ref="A1:D3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28125" style="3" customWidth="1"/>
    <col min="2" max="2" width="2.7109375" style="3" customWidth="1"/>
    <col min="3" max="3" width="94.57421875" style="3" customWidth="1"/>
    <col min="4" max="4" width="2.7109375" style="3" customWidth="1"/>
    <col min="5" max="16384" width="9.140625" style="3" customWidth="1"/>
  </cols>
  <sheetData>
    <row r="1" spans="1:4" ht="15" customHeight="1">
      <c r="A1" s="147"/>
      <c r="B1" s="2"/>
      <c r="C1" s="2"/>
      <c r="D1" s="93" t="s">
        <v>299</v>
      </c>
    </row>
    <row r="2" spans="1:4" ht="132.75" customHeight="1">
      <c r="A2" s="2"/>
      <c r="B2" s="4"/>
      <c r="C2" s="90" t="s">
        <v>669</v>
      </c>
      <c r="D2" s="2"/>
    </row>
    <row r="3" spans="1:4" ht="11.25" customHeight="1">
      <c r="A3" s="2"/>
      <c r="B3" s="2"/>
      <c r="C3" s="2"/>
      <c r="D3" s="2"/>
    </row>
    <row r="4" spans="1:4" ht="5.25" customHeight="1">
      <c r="A4" s="2"/>
      <c r="B4" s="5"/>
      <c r="C4" s="6"/>
      <c r="D4" s="2"/>
    </row>
    <row r="5" spans="1:4" ht="31.5" customHeight="1">
      <c r="A5" s="2"/>
      <c r="B5" s="5"/>
      <c r="C5" s="89" t="s">
        <v>222</v>
      </c>
      <c r="D5" s="2"/>
    </row>
    <row r="6" spans="1:4" ht="31.5" customHeight="1">
      <c r="A6" s="2"/>
      <c r="B6" s="5"/>
      <c r="C6" s="87" t="s">
        <v>298</v>
      </c>
      <c r="D6" s="2"/>
    </row>
    <row r="7" spans="1:4" ht="16.5" customHeight="1">
      <c r="A7" s="7"/>
      <c r="B7" s="8" t="s">
        <v>475</v>
      </c>
      <c r="C7" s="16"/>
      <c r="D7" s="7"/>
    </row>
    <row r="8" spans="1:4" ht="18.75" customHeight="1">
      <c r="A8" s="7"/>
      <c r="B8" s="10" t="s">
        <v>476</v>
      </c>
      <c r="C8" s="16" t="s">
        <v>211</v>
      </c>
      <c r="D8" s="7"/>
    </row>
    <row r="9" spans="1:4" ht="21" customHeight="1">
      <c r="A9" s="7"/>
      <c r="B9" s="10" t="s">
        <v>476</v>
      </c>
      <c r="C9" s="16" t="s">
        <v>677</v>
      </c>
      <c r="D9" s="7"/>
    </row>
    <row r="10" spans="1:4" ht="21" customHeight="1">
      <c r="A10" s="7"/>
      <c r="B10" s="10" t="s">
        <v>476</v>
      </c>
      <c r="C10" s="16" t="s">
        <v>221</v>
      </c>
      <c r="D10" s="7"/>
    </row>
    <row r="11" spans="1:4" ht="16.5" customHeight="1">
      <c r="A11" s="7"/>
      <c r="B11" s="10" t="s">
        <v>476</v>
      </c>
      <c r="C11" s="16" t="s">
        <v>676</v>
      </c>
      <c r="D11" s="7"/>
    </row>
    <row r="12" spans="1:4" ht="16.5" customHeight="1">
      <c r="A12" s="7"/>
      <c r="B12" s="10" t="s">
        <v>476</v>
      </c>
      <c r="C12" s="16" t="s">
        <v>675</v>
      </c>
      <c r="D12" s="7"/>
    </row>
    <row r="13" spans="1:4" ht="33" customHeight="1">
      <c r="A13" s="7"/>
      <c r="B13" s="10" t="s">
        <v>476</v>
      </c>
      <c r="C13" s="16" t="s">
        <v>297</v>
      </c>
      <c r="D13" s="7"/>
    </row>
    <row r="14" spans="1:4" ht="18" customHeight="1">
      <c r="A14" s="7"/>
      <c r="B14" s="8" t="s">
        <v>295</v>
      </c>
      <c r="C14" s="16"/>
      <c r="D14" s="7"/>
    </row>
    <row r="15" spans="1:4" ht="57" customHeight="1">
      <c r="A15" s="7"/>
      <c r="B15" s="10" t="s">
        <v>476</v>
      </c>
      <c r="C15" s="86" t="s">
        <v>218</v>
      </c>
      <c r="D15" s="2"/>
    </row>
    <row r="16" spans="1:4" ht="30.75" customHeight="1">
      <c r="A16" s="7"/>
      <c r="B16" s="10" t="s">
        <v>476</v>
      </c>
      <c r="C16" s="86" t="s">
        <v>491</v>
      </c>
      <c r="D16" s="2"/>
    </row>
    <row r="17" spans="1:4" ht="31.5" customHeight="1">
      <c r="A17" s="7"/>
      <c r="B17" s="10" t="s">
        <v>476</v>
      </c>
      <c r="C17" s="86" t="s">
        <v>225</v>
      </c>
      <c r="D17" s="2"/>
    </row>
    <row r="18" spans="1:4" ht="45.75" customHeight="1">
      <c r="A18" s="7"/>
      <c r="B18" s="10" t="s">
        <v>476</v>
      </c>
      <c r="C18" s="86" t="s">
        <v>551</v>
      </c>
      <c r="D18" s="7"/>
    </row>
    <row r="19" spans="1:4" ht="70.5" customHeight="1">
      <c r="A19" s="7"/>
      <c r="B19" s="10" t="s">
        <v>476</v>
      </c>
      <c r="C19" s="86" t="s">
        <v>485</v>
      </c>
      <c r="D19" s="2"/>
    </row>
    <row r="20" spans="1:4" ht="45.75" customHeight="1">
      <c r="A20" s="7"/>
      <c r="B20" s="10" t="s">
        <v>476</v>
      </c>
      <c r="C20" s="88" t="s">
        <v>213</v>
      </c>
      <c r="D20" s="7"/>
    </row>
    <row r="21" spans="1:4" ht="42.75" customHeight="1">
      <c r="A21" s="7"/>
      <c r="B21" s="10" t="s">
        <v>476</v>
      </c>
      <c r="C21" s="86" t="s">
        <v>215</v>
      </c>
      <c r="D21" s="7"/>
    </row>
    <row r="22" spans="1:4" ht="106.5" customHeight="1">
      <c r="A22" s="7"/>
      <c r="B22" s="10" t="s">
        <v>476</v>
      </c>
      <c r="C22" s="86" t="s">
        <v>294</v>
      </c>
      <c r="D22" s="2"/>
    </row>
    <row r="23" spans="1:4" ht="12.75" customHeight="1">
      <c r="A23" s="7"/>
      <c r="B23" s="92"/>
      <c r="C23" s="91"/>
      <c r="D23" s="7"/>
    </row>
    <row r="24" spans="1:4" ht="61.5" customHeight="1">
      <c r="A24" s="7"/>
      <c r="B24" s="10" t="s">
        <v>476</v>
      </c>
      <c r="C24" s="86" t="s">
        <v>486</v>
      </c>
      <c r="D24" s="7"/>
    </row>
    <row r="25" spans="1:4" ht="70.5" customHeight="1">
      <c r="A25" s="7"/>
      <c r="B25" s="10" t="s">
        <v>476</v>
      </c>
      <c r="C25" s="86" t="s">
        <v>494</v>
      </c>
      <c r="D25" s="7"/>
    </row>
    <row r="26" spans="1:4" ht="31.5" customHeight="1">
      <c r="A26" s="7"/>
      <c r="B26" s="10" t="s">
        <v>476</v>
      </c>
      <c r="C26" s="86" t="s">
        <v>224</v>
      </c>
      <c r="D26" s="2"/>
    </row>
    <row r="27" spans="1:4" ht="69.75" customHeight="1">
      <c r="A27" s="7"/>
      <c r="B27" s="10" t="s">
        <v>476</v>
      </c>
      <c r="C27" s="86" t="s">
        <v>214</v>
      </c>
      <c r="D27" s="7"/>
    </row>
    <row r="28" spans="1:4" ht="33" customHeight="1">
      <c r="A28" s="7"/>
      <c r="B28" s="10" t="s">
        <v>476</v>
      </c>
      <c r="C28" s="86" t="s">
        <v>140</v>
      </c>
      <c r="D28" s="7"/>
    </row>
    <row r="29" spans="1:4" ht="46.5" customHeight="1">
      <c r="A29" s="7"/>
      <c r="B29" s="10" t="s">
        <v>476</v>
      </c>
      <c r="C29" s="86" t="s">
        <v>216</v>
      </c>
      <c r="D29" s="7"/>
    </row>
    <row r="30" spans="1:4" ht="105.75" customHeight="1">
      <c r="A30" s="7"/>
      <c r="B30" s="10" t="s">
        <v>476</v>
      </c>
      <c r="C30" s="86" t="s">
        <v>245</v>
      </c>
      <c r="D30" s="7"/>
    </row>
    <row r="31" spans="1:4" ht="31.5" customHeight="1">
      <c r="A31" s="7"/>
      <c r="B31" s="10" t="s">
        <v>476</v>
      </c>
      <c r="C31" s="86" t="s">
        <v>495</v>
      </c>
      <c r="D31" s="7"/>
    </row>
    <row r="32" spans="1:4" ht="67.5" customHeight="1">
      <c r="A32" s="7"/>
      <c r="B32" s="10" t="s">
        <v>476</v>
      </c>
      <c r="C32" s="86" t="s">
        <v>145</v>
      </c>
      <c r="D32" s="2"/>
    </row>
    <row r="33" spans="1:4" ht="29.25" customHeight="1">
      <c r="A33" s="7"/>
      <c r="B33" s="10" t="s">
        <v>476</v>
      </c>
      <c r="C33" s="86" t="s">
        <v>146</v>
      </c>
      <c r="D33" s="2"/>
    </row>
    <row r="34" spans="1:4" ht="30.75" customHeight="1">
      <c r="A34" s="7"/>
      <c r="B34" s="10" t="s">
        <v>476</v>
      </c>
      <c r="C34" s="86" t="s">
        <v>223</v>
      </c>
      <c r="D34" s="2"/>
    </row>
    <row r="35" spans="1:4" ht="49.5" customHeight="1">
      <c r="A35" s="7"/>
      <c r="B35" s="10" t="s">
        <v>476</v>
      </c>
      <c r="C35" s="86" t="s">
        <v>217</v>
      </c>
      <c r="D35" s="2"/>
    </row>
    <row r="36" spans="1:4" ht="45.75" customHeight="1">
      <c r="A36" s="7"/>
      <c r="B36" s="10" t="s">
        <v>476</v>
      </c>
      <c r="C36" s="86" t="s">
        <v>58</v>
      </c>
      <c r="D36" s="2"/>
    </row>
    <row r="37" spans="1:4" ht="42" customHeight="1">
      <c r="A37" s="7"/>
      <c r="B37" s="10" t="s">
        <v>476</v>
      </c>
      <c r="C37" s="86" t="s">
        <v>59</v>
      </c>
      <c r="D37" s="2"/>
    </row>
    <row r="38" spans="1:4" ht="74.25" customHeight="1">
      <c r="A38" s="7"/>
      <c r="B38" s="10" t="s">
        <v>476</v>
      </c>
      <c r="C38" s="86" t="s">
        <v>139</v>
      </c>
      <c r="D38" s="7"/>
    </row>
    <row r="39" spans="1:4" ht="12.75">
      <c r="A39" s="11" t="str">
        <f>Terms!$A$22</f>
        <v>UnitsCalc20050823</v>
      </c>
      <c r="B39" s="12"/>
      <c r="C39" s="2"/>
      <c r="D39" s="13" t="s">
        <v>206</v>
      </c>
    </row>
  </sheetData>
  <sheetProtection sheet="1" objects="1" scenarios="1"/>
  <printOptions horizontalCentered="1" verticalCentered="1"/>
  <pageMargins left="0.6299212598425197" right="0.3937007874015748" top="0.3937007874015748" bottom="0.6299212598425197" header="0.5118110236220472" footer="0.5118110236220472"/>
  <pageSetup fitToHeight="2" horizontalDpi="600" verticalDpi="600" orientation="portrait" paperSize="9" scale="88" r:id="rId2"/>
  <headerFooter alignWithMargins="0">
    <oddFooter>&amp;L&amp;"Arial,Italic"&amp;9File: &amp;F Tab: &amp;A&amp;C&amp;"Arial,Italic"&amp;9Page &amp;P/&amp;N&amp;R&amp;"Arial,Italic"&amp;9Date Printed: &amp;D</oddFooter>
  </headerFooter>
  <rowBreaks count="1" manualBreakCount="1">
    <brk id="23" max="3" man="1"/>
  </rowBreaks>
  <legacyDrawing r:id="rId1"/>
</worksheet>
</file>

<file path=xl/worksheets/sheet27.xml><?xml version="1.0" encoding="utf-8"?>
<worksheet xmlns="http://schemas.openxmlformats.org/spreadsheetml/2006/main" xmlns:r="http://schemas.openxmlformats.org/officeDocument/2006/relationships">
  <sheetPr codeName="Sheet13">
    <pageSetUpPr fitToPage="1"/>
  </sheetPr>
  <dimension ref="A1:D177"/>
  <sheetViews>
    <sheetView showGridLines="0" showRowColHeaders="0" zoomScaleSheetLayoutView="75"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6.140625" style="3" customWidth="1"/>
    <col min="2" max="2" width="12.8515625" style="3" customWidth="1"/>
    <col min="3" max="3" width="74.57421875" style="3" customWidth="1"/>
    <col min="4" max="4" width="2.421875" style="3" customWidth="1"/>
    <col min="5" max="8" width="9.140625" style="3" customWidth="1"/>
    <col min="9" max="9" width="26.8515625" style="3" customWidth="1"/>
    <col min="10" max="16384" width="9.140625" style="3" customWidth="1"/>
  </cols>
  <sheetData>
    <row r="1" spans="1:4" ht="12.75">
      <c r="A1" s="147"/>
      <c r="B1" s="2"/>
      <c r="C1" s="2"/>
      <c r="D1" s="93" t="s">
        <v>343</v>
      </c>
    </row>
    <row r="2" spans="1:4" ht="148.5" customHeight="1">
      <c r="A2" s="2"/>
      <c r="B2" s="4"/>
      <c r="C2" s="90" t="s">
        <v>667</v>
      </c>
      <c r="D2" s="2"/>
    </row>
    <row r="3" spans="1:4" ht="12.75">
      <c r="A3" s="2"/>
      <c r="B3" s="2"/>
      <c r="C3" s="2"/>
      <c r="D3" s="2"/>
    </row>
    <row r="4" spans="1:4" ht="30" customHeight="1">
      <c r="A4" s="7"/>
      <c r="B4" s="8" t="s">
        <v>477</v>
      </c>
      <c r="C4" s="15"/>
      <c r="D4" s="7"/>
    </row>
    <row r="5" spans="1:4" ht="81" customHeight="1">
      <c r="A5" s="2"/>
      <c r="B5" s="5"/>
      <c r="C5" s="88" t="s">
        <v>496</v>
      </c>
      <c r="D5" s="2"/>
    </row>
    <row r="6" spans="1:4" ht="88.5" customHeight="1">
      <c r="A6" s="2"/>
      <c r="B6" s="14"/>
      <c r="C6" s="16" t="s">
        <v>208</v>
      </c>
      <c r="D6" s="2"/>
    </row>
    <row r="7" spans="1:4" ht="58.5" customHeight="1">
      <c r="A7" s="2"/>
      <c r="B7" s="14"/>
      <c r="C7" s="16" t="s">
        <v>210</v>
      </c>
      <c r="D7" s="2"/>
    </row>
    <row r="8" spans="1:4" ht="71.25" customHeight="1">
      <c r="A8" s="2"/>
      <c r="B8" s="14"/>
      <c r="C8" s="16" t="s">
        <v>497</v>
      </c>
      <c r="D8" s="2"/>
    </row>
    <row r="9" spans="1:4" ht="21.75" customHeight="1">
      <c r="A9" s="2"/>
      <c r="B9" s="8" t="s">
        <v>478</v>
      </c>
      <c r="C9" s="15"/>
      <c r="D9" s="2"/>
    </row>
    <row r="10" spans="1:4" ht="29.25" customHeight="1">
      <c r="A10" s="2"/>
      <c r="B10" s="8"/>
      <c r="C10" s="88" t="s">
        <v>673</v>
      </c>
      <c r="D10" s="2"/>
    </row>
    <row r="11" spans="1:4" ht="12.75">
      <c r="A11" s="2"/>
      <c r="B11" s="8"/>
      <c r="C11" s="16"/>
      <c r="D11" s="2"/>
    </row>
    <row r="12" spans="1:4" ht="25.5">
      <c r="A12" s="2"/>
      <c r="B12" s="8"/>
      <c r="C12" s="16" t="s">
        <v>512</v>
      </c>
      <c r="D12" s="2"/>
    </row>
    <row r="13" spans="1:4" ht="12.75">
      <c r="A13" s="2"/>
      <c r="B13" s="8"/>
      <c r="C13" s="16" t="s">
        <v>479</v>
      </c>
      <c r="D13" s="2"/>
    </row>
    <row r="14" spans="1:4" ht="12.75">
      <c r="A14" s="2"/>
      <c r="B14" s="8"/>
      <c r="C14" s="16"/>
      <c r="D14" s="2"/>
    </row>
    <row r="15" spans="1:4" ht="12.75">
      <c r="A15" s="2"/>
      <c r="B15" s="8"/>
      <c r="C15" s="16" t="s">
        <v>480</v>
      </c>
      <c r="D15" s="2"/>
    </row>
    <row r="16" spans="1:4" ht="12.75">
      <c r="A16" s="2"/>
      <c r="B16" s="8"/>
      <c r="C16" s="16" t="s">
        <v>481</v>
      </c>
      <c r="D16" s="2"/>
    </row>
    <row r="17" spans="1:4" ht="12.75">
      <c r="A17" s="2"/>
      <c r="B17" s="8"/>
      <c r="C17" s="16"/>
      <c r="D17" s="2"/>
    </row>
    <row r="18" spans="1:4" ht="12.75">
      <c r="A18" s="2"/>
      <c r="B18" s="8"/>
      <c r="C18" s="16" t="s">
        <v>501</v>
      </c>
      <c r="D18" s="2"/>
    </row>
    <row r="19" spans="1:4" ht="15.75" customHeight="1">
      <c r="A19" s="2"/>
      <c r="B19" s="8"/>
      <c r="C19" s="16" t="s">
        <v>668</v>
      </c>
      <c r="D19" s="2"/>
    </row>
    <row r="20" spans="1:4" ht="12.75">
      <c r="A20" s="2"/>
      <c r="B20" s="8"/>
      <c r="C20" s="16"/>
      <c r="D20" s="2"/>
    </row>
    <row r="21" spans="1:4" ht="55.5" customHeight="1">
      <c r="A21" s="2"/>
      <c r="B21" s="8"/>
      <c r="C21" s="16" t="s">
        <v>674</v>
      </c>
      <c r="D21" s="2"/>
    </row>
    <row r="22" spans="1:4" ht="12.75">
      <c r="A22" s="2"/>
      <c r="B22" s="2"/>
      <c r="C22" s="2"/>
      <c r="D22" s="2"/>
    </row>
    <row r="23" spans="1:4" ht="24" customHeight="1">
      <c r="A23" s="2"/>
      <c r="B23" s="8" t="s">
        <v>513</v>
      </c>
      <c r="C23" s="15"/>
      <c r="D23" s="2"/>
    </row>
    <row r="24" spans="1:4" ht="47.25" customHeight="1">
      <c r="A24" s="2"/>
      <c r="B24" s="132" t="s">
        <v>290</v>
      </c>
      <c r="C24" s="16" t="s">
        <v>670</v>
      </c>
      <c r="D24" s="2"/>
    </row>
    <row r="25" spans="1:4" ht="82.5" customHeight="1">
      <c r="A25" s="2"/>
      <c r="B25" s="132" t="s">
        <v>290</v>
      </c>
      <c r="C25" s="133" t="s">
        <v>671</v>
      </c>
      <c r="D25" s="2"/>
    </row>
    <row r="26" spans="1:4" ht="33" customHeight="1">
      <c r="A26" s="2"/>
      <c r="B26" s="132" t="s">
        <v>290</v>
      </c>
      <c r="C26" s="16" t="s">
        <v>289</v>
      </c>
      <c r="D26" s="2"/>
    </row>
    <row r="27" spans="1:4" ht="33" customHeight="1">
      <c r="A27" s="2"/>
      <c r="B27" s="132" t="s">
        <v>290</v>
      </c>
      <c r="C27" s="16" t="s">
        <v>439</v>
      </c>
      <c r="D27" s="2"/>
    </row>
    <row r="28" spans="1:4" ht="62.25" customHeight="1">
      <c r="A28" s="2"/>
      <c r="B28" s="132" t="s">
        <v>290</v>
      </c>
      <c r="C28" s="16" t="s">
        <v>672</v>
      </c>
      <c r="D28" s="2"/>
    </row>
    <row r="29" spans="1:4" ht="61.5" customHeight="1">
      <c r="A29" s="2"/>
      <c r="B29" s="132" t="s">
        <v>290</v>
      </c>
      <c r="C29" s="16" t="s">
        <v>285</v>
      </c>
      <c r="D29" s="2"/>
    </row>
    <row r="30" spans="1:4" ht="44.25" customHeight="1">
      <c r="A30" s="2"/>
      <c r="B30" s="132" t="s">
        <v>290</v>
      </c>
      <c r="C30" s="16" t="s">
        <v>492</v>
      </c>
      <c r="D30" s="2"/>
    </row>
    <row r="31" spans="1:4" ht="12.75">
      <c r="A31" s="94"/>
      <c r="B31" s="8" t="s">
        <v>592</v>
      </c>
      <c r="C31" s="16"/>
      <c r="D31" s="94"/>
    </row>
    <row r="32" spans="1:4" ht="12.75">
      <c r="A32" s="94"/>
      <c r="B32" s="16" t="s">
        <v>158</v>
      </c>
      <c r="C32" s="95" t="s">
        <v>203</v>
      </c>
      <c r="D32" s="94"/>
    </row>
    <row r="33" spans="1:4" ht="12.75">
      <c r="A33" s="94"/>
      <c r="B33" s="16" t="s">
        <v>198</v>
      </c>
      <c r="C33" s="95" t="s">
        <v>202</v>
      </c>
      <c r="D33" s="94"/>
    </row>
    <row r="34" spans="1:4" ht="12.75">
      <c r="A34" s="94"/>
      <c r="B34" s="8" t="s">
        <v>23</v>
      </c>
      <c r="C34" s="16"/>
      <c r="D34" s="94"/>
    </row>
    <row r="35" spans="1:4" ht="25.5">
      <c r="A35" s="94"/>
      <c r="B35" s="16" t="s">
        <v>729</v>
      </c>
      <c r="C35" s="16" t="s">
        <v>733</v>
      </c>
      <c r="D35" s="94"/>
    </row>
    <row r="36" spans="1:4" ht="32.25" customHeight="1">
      <c r="A36" s="94"/>
      <c r="B36" s="16" t="s">
        <v>734</v>
      </c>
      <c r="C36" s="16" t="s">
        <v>735</v>
      </c>
      <c r="D36" s="94"/>
    </row>
    <row r="37" spans="1:4" ht="12.75">
      <c r="A37" s="94"/>
      <c r="B37" s="85" t="s">
        <v>574</v>
      </c>
      <c r="C37" s="16"/>
      <c r="D37" s="94"/>
    </row>
    <row r="38" spans="1:4" ht="12.75">
      <c r="A38" s="94"/>
      <c r="B38" s="16" t="s">
        <v>436</v>
      </c>
      <c r="C38" s="95" t="s">
        <v>342</v>
      </c>
      <c r="D38" s="94"/>
    </row>
    <row r="39" spans="1:4" ht="12.75">
      <c r="A39" s="94"/>
      <c r="B39" s="16" t="s">
        <v>425</v>
      </c>
      <c r="C39" s="95" t="s">
        <v>200</v>
      </c>
      <c r="D39" s="94"/>
    </row>
    <row r="40" spans="1:4" ht="12.75">
      <c r="A40" s="94"/>
      <c r="B40" s="16" t="s">
        <v>424</v>
      </c>
      <c r="C40" s="95" t="s">
        <v>201</v>
      </c>
      <c r="D40" s="94"/>
    </row>
    <row r="41" spans="1:4" ht="12.75">
      <c r="A41" s="94"/>
      <c r="B41" s="8" t="s">
        <v>642</v>
      </c>
      <c r="C41" s="16"/>
      <c r="D41" s="94"/>
    </row>
    <row r="42" spans="1:4" ht="14.25">
      <c r="A42" s="94"/>
      <c r="B42" s="16" t="s">
        <v>430</v>
      </c>
      <c r="C42" s="16" t="s">
        <v>725</v>
      </c>
      <c r="D42" s="94"/>
    </row>
    <row r="43" spans="1:4" ht="12.75">
      <c r="A43" s="94"/>
      <c r="B43" s="16" t="s">
        <v>432</v>
      </c>
      <c r="C43" s="16" t="s">
        <v>724</v>
      </c>
      <c r="D43" s="94"/>
    </row>
    <row r="44" spans="1:4" ht="12.75">
      <c r="A44" s="94"/>
      <c r="B44" s="16" t="s">
        <v>433</v>
      </c>
      <c r="C44" s="16" t="s">
        <v>722</v>
      </c>
      <c r="D44" s="94"/>
    </row>
    <row r="45" spans="1:4" ht="12.75">
      <c r="A45" s="94"/>
      <c r="B45" s="16" t="s">
        <v>689</v>
      </c>
      <c r="C45" s="16" t="s">
        <v>690</v>
      </c>
      <c r="D45" s="94"/>
    </row>
    <row r="46" spans="1:4" ht="12.75">
      <c r="A46" s="94"/>
      <c r="B46" s="16" t="s">
        <v>423</v>
      </c>
      <c r="C46" s="16" t="s">
        <v>379</v>
      </c>
      <c r="D46" s="94"/>
    </row>
    <row r="47" spans="1:4" ht="12.75">
      <c r="A47" s="94"/>
      <c r="B47" s="16" t="s">
        <v>419</v>
      </c>
      <c r="C47" s="16" t="s">
        <v>691</v>
      </c>
      <c r="D47" s="94"/>
    </row>
    <row r="48" spans="1:4" ht="12.75">
      <c r="A48" s="94"/>
      <c r="B48" s="16" t="s">
        <v>429</v>
      </c>
      <c r="C48" s="16" t="s">
        <v>376</v>
      </c>
      <c r="D48" s="94"/>
    </row>
    <row r="49" spans="1:4" ht="12.75">
      <c r="A49" s="94"/>
      <c r="B49" s="16" t="s">
        <v>422</v>
      </c>
      <c r="C49" s="16" t="s">
        <v>378</v>
      </c>
      <c r="D49" s="94"/>
    </row>
    <row r="50" spans="1:4" ht="15.75" customHeight="1">
      <c r="A50" s="94"/>
      <c r="B50" s="16" t="s">
        <v>435</v>
      </c>
      <c r="C50" s="16" t="s">
        <v>377</v>
      </c>
      <c r="D50" s="94"/>
    </row>
    <row r="51" spans="1:4" ht="30.75" customHeight="1">
      <c r="A51" s="94"/>
      <c r="B51" s="16" t="s">
        <v>699</v>
      </c>
      <c r="C51" s="16" t="s">
        <v>70</v>
      </c>
      <c r="D51" s="94"/>
    </row>
    <row r="52" spans="1:4" ht="12.75">
      <c r="A52" s="94"/>
      <c r="B52" s="16" t="s">
        <v>427</v>
      </c>
      <c r="C52" s="16" t="s">
        <v>726</v>
      </c>
      <c r="D52" s="94"/>
    </row>
    <row r="53" spans="1:4" ht="12.75">
      <c r="A53" s="94"/>
      <c r="B53" s="16" t="s">
        <v>421</v>
      </c>
      <c r="C53" s="16" t="s">
        <v>4</v>
      </c>
      <c r="D53" s="94"/>
    </row>
    <row r="54" spans="1:4" ht="24.75" customHeight="1">
      <c r="A54" s="94"/>
      <c r="B54" s="16" t="s">
        <v>431</v>
      </c>
      <c r="C54" s="16" t="s">
        <v>723</v>
      </c>
      <c r="D54" s="94"/>
    </row>
    <row r="55" spans="1:4" ht="12.75">
      <c r="A55" s="94"/>
      <c r="B55" s="94"/>
      <c r="C55" s="94"/>
      <c r="D55" s="94"/>
    </row>
    <row r="56" spans="1:4" ht="34.5" customHeight="1">
      <c r="A56" s="94"/>
      <c r="B56" s="9" t="s">
        <v>499</v>
      </c>
      <c r="C56" s="9" t="s">
        <v>5</v>
      </c>
      <c r="D56" s="94"/>
    </row>
    <row r="57" spans="1:4" ht="30.75" customHeight="1">
      <c r="A57" s="94"/>
      <c r="B57" s="16" t="s">
        <v>498</v>
      </c>
      <c r="C57" s="16" t="s">
        <v>11</v>
      </c>
      <c r="D57" s="94"/>
    </row>
    <row r="58" spans="1:4" ht="12.75">
      <c r="A58" s="94"/>
      <c r="B58" s="16" t="s">
        <v>736</v>
      </c>
      <c r="C58" s="16" t="s">
        <v>14</v>
      </c>
      <c r="D58" s="94"/>
    </row>
    <row r="59" spans="1:4" ht="12.75">
      <c r="A59" s="94"/>
      <c r="B59" s="16" t="s">
        <v>420</v>
      </c>
      <c r="C59" s="16" t="s">
        <v>380</v>
      </c>
      <c r="D59" s="94"/>
    </row>
    <row r="60" spans="1:4" ht="17.25" customHeight="1">
      <c r="A60" s="94"/>
      <c r="B60" s="8" t="s">
        <v>654</v>
      </c>
      <c r="C60" s="16"/>
      <c r="D60" s="94"/>
    </row>
    <row r="61" spans="1:4" ht="57" customHeight="1">
      <c r="A61" s="94"/>
      <c r="B61" s="16" t="s">
        <v>683</v>
      </c>
      <c r="C61" s="16" t="s">
        <v>92</v>
      </c>
      <c r="D61" s="94"/>
    </row>
    <row r="62" spans="1:4" ht="35.25" customHeight="1">
      <c r="A62" s="94"/>
      <c r="B62" s="16" t="s">
        <v>650</v>
      </c>
      <c r="C62" s="16" t="s">
        <v>1</v>
      </c>
      <c r="D62" s="94"/>
    </row>
    <row r="63" spans="1:4" ht="34.5" customHeight="1">
      <c r="A63" s="94"/>
      <c r="B63" s="16" t="s">
        <v>682</v>
      </c>
      <c r="C63" s="16" t="s">
        <v>786</v>
      </c>
      <c r="D63" s="94"/>
    </row>
    <row r="64" spans="1:4" ht="16.5" customHeight="1">
      <c r="A64" s="94"/>
      <c r="B64" s="16" t="s">
        <v>644</v>
      </c>
      <c r="C64" s="16" t="s">
        <v>696</v>
      </c>
      <c r="D64" s="94"/>
    </row>
    <row r="65" spans="1:4" ht="25.5">
      <c r="A65" s="94"/>
      <c r="B65" s="16" t="s">
        <v>698</v>
      </c>
      <c r="C65" s="16" t="s">
        <v>697</v>
      </c>
      <c r="D65" s="94"/>
    </row>
    <row r="66" spans="1:4" ht="45.75" customHeight="1">
      <c r="A66" s="94"/>
      <c r="B66" s="16" t="s">
        <v>389</v>
      </c>
      <c r="C66" s="16" t="s">
        <v>3</v>
      </c>
      <c r="D66" s="94"/>
    </row>
    <row r="67" spans="1:4" ht="47.25" customHeight="1">
      <c r="A67" s="94"/>
      <c r="B67" s="16" t="s">
        <v>701</v>
      </c>
      <c r="C67" s="16" t="s">
        <v>2</v>
      </c>
      <c r="D67" s="94"/>
    </row>
    <row r="68" spans="1:4" ht="12.75">
      <c r="A68" s="94"/>
      <c r="B68" s="8" t="s">
        <v>392</v>
      </c>
      <c r="C68" s="16"/>
      <c r="D68" s="94"/>
    </row>
    <row r="69" spans="1:4" ht="28.5" customHeight="1">
      <c r="A69" s="94"/>
      <c r="B69" s="16" t="s">
        <v>533</v>
      </c>
      <c r="C69" s="16" t="s">
        <v>388</v>
      </c>
      <c r="D69" s="94"/>
    </row>
    <row r="70" spans="1:4" ht="15" customHeight="1">
      <c r="A70" s="94"/>
      <c r="B70" s="16" t="s">
        <v>20</v>
      </c>
      <c r="C70" s="16" t="s">
        <v>21</v>
      </c>
      <c r="D70" s="94"/>
    </row>
    <row r="71" spans="1:4" ht="31.5" customHeight="1">
      <c r="A71" s="94"/>
      <c r="B71" s="16" t="s">
        <v>531</v>
      </c>
      <c r="C71" s="16" t="s">
        <v>387</v>
      </c>
      <c r="D71" s="94"/>
    </row>
    <row r="72" spans="1:4" ht="12.75">
      <c r="A72" s="94"/>
      <c r="B72" s="8" t="s">
        <v>694</v>
      </c>
      <c r="C72" s="16"/>
      <c r="D72" s="94"/>
    </row>
    <row r="73" spans="1:4" ht="27" customHeight="1">
      <c r="A73" s="94"/>
      <c r="B73" s="16" t="s">
        <v>685</v>
      </c>
      <c r="C73" s="16" t="s">
        <v>686</v>
      </c>
      <c r="D73" s="94"/>
    </row>
    <row r="74" spans="1:4" ht="12.75">
      <c r="A74" s="94"/>
      <c r="B74" s="16" t="s">
        <v>687</v>
      </c>
      <c r="C74" s="16" t="s">
        <v>688</v>
      </c>
      <c r="D74" s="94"/>
    </row>
    <row r="75" spans="1:4" ht="12.75">
      <c r="A75" s="94"/>
      <c r="B75" s="8" t="s">
        <v>655</v>
      </c>
      <c r="C75" s="16"/>
      <c r="D75" s="94"/>
    </row>
    <row r="76" spans="1:4" ht="12.75">
      <c r="A76" s="94"/>
      <c r="B76" s="16" t="s">
        <v>644</v>
      </c>
      <c r="C76" s="95" t="s">
        <v>197</v>
      </c>
      <c r="D76" s="94"/>
    </row>
    <row r="77" spans="1:4" ht="25.5">
      <c r="A77" s="94"/>
      <c r="B77" s="16" t="s">
        <v>187</v>
      </c>
      <c r="C77" s="16" t="s">
        <v>188</v>
      </c>
      <c r="D77" s="94"/>
    </row>
    <row r="78" spans="1:4" ht="12.75">
      <c r="A78" s="94"/>
      <c r="B78" s="16" t="s">
        <v>189</v>
      </c>
      <c r="C78" s="16" t="s">
        <v>190</v>
      </c>
      <c r="D78" s="94"/>
    </row>
    <row r="79" spans="1:4" ht="12.75">
      <c r="A79" s="94"/>
      <c r="B79" s="8" t="s">
        <v>395</v>
      </c>
      <c r="C79" s="16"/>
      <c r="D79" s="94"/>
    </row>
    <row r="80" spans="1:4" ht="13.5" customHeight="1">
      <c r="A80" s="94"/>
      <c r="B80" s="16" t="s">
        <v>534</v>
      </c>
      <c r="C80" s="95" t="s">
        <v>183</v>
      </c>
      <c r="D80" s="94"/>
    </row>
    <row r="81" spans="1:4" ht="12.75">
      <c r="A81" s="94"/>
      <c r="B81" s="16" t="s">
        <v>535</v>
      </c>
      <c r="C81" s="95" t="s">
        <v>182</v>
      </c>
      <c r="D81" s="94"/>
    </row>
    <row r="82" spans="1:4" ht="12.75">
      <c r="A82" s="94"/>
      <c r="B82" s="16" t="s">
        <v>383</v>
      </c>
      <c r="C82" s="95" t="s">
        <v>186</v>
      </c>
      <c r="D82" s="94"/>
    </row>
    <row r="83" spans="1:4" ht="12.75">
      <c r="A83" s="94"/>
      <c r="B83" s="16" t="s">
        <v>184</v>
      </c>
      <c r="C83" s="95" t="s">
        <v>185</v>
      </c>
      <c r="D83" s="94"/>
    </row>
    <row r="84" spans="1:4" ht="12.75">
      <c r="A84" s="94"/>
      <c r="B84" s="8" t="s">
        <v>637</v>
      </c>
      <c r="C84" s="16"/>
      <c r="D84" s="94"/>
    </row>
    <row r="85" spans="1:4" ht="18" customHeight="1">
      <c r="A85" s="94"/>
      <c r="B85" s="16" t="s">
        <v>639</v>
      </c>
      <c r="C85" s="16" t="s">
        <v>15</v>
      </c>
      <c r="D85" s="94"/>
    </row>
    <row r="86" spans="1:4" ht="28.5" customHeight="1">
      <c r="A86" s="94"/>
      <c r="B86" s="16" t="s">
        <v>196</v>
      </c>
      <c r="C86" s="16" t="s">
        <v>195</v>
      </c>
      <c r="D86" s="94"/>
    </row>
    <row r="87" spans="1:4" ht="18" customHeight="1">
      <c r="A87" s="94"/>
      <c r="B87" s="16" t="s">
        <v>193</v>
      </c>
      <c r="C87" s="16" t="s">
        <v>194</v>
      </c>
      <c r="D87" s="94"/>
    </row>
    <row r="88" spans="1:4" ht="57.75" customHeight="1">
      <c r="A88" s="94"/>
      <c r="B88" s="16" t="s">
        <v>623</v>
      </c>
      <c r="C88" s="16" t="s">
        <v>0</v>
      </c>
      <c r="D88" s="94"/>
    </row>
    <row r="89" spans="1:4" ht="12.75">
      <c r="A89" s="94"/>
      <c r="B89" s="94"/>
      <c r="C89" s="94"/>
      <c r="D89" s="94"/>
    </row>
    <row r="90" spans="1:4" ht="18.75" customHeight="1">
      <c r="A90" s="94"/>
      <c r="B90" s="8" t="s">
        <v>638</v>
      </c>
      <c r="C90" s="16"/>
      <c r="D90" s="94"/>
    </row>
    <row r="91" spans="1:4" ht="47.25" customHeight="1">
      <c r="A91" s="94"/>
      <c r="B91" s="16" t="s">
        <v>612</v>
      </c>
      <c r="C91" s="16" t="s">
        <v>57</v>
      </c>
      <c r="D91" s="94"/>
    </row>
    <row r="92" spans="1:4" ht="50.25" customHeight="1">
      <c r="A92" s="94"/>
      <c r="B92" s="16" t="s">
        <v>386</v>
      </c>
      <c r="C92" s="16" t="s">
        <v>56</v>
      </c>
      <c r="D92" s="94"/>
    </row>
    <row r="93" spans="1:4" ht="45.75" customHeight="1">
      <c r="A93" s="94"/>
      <c r="B93" s="16" t="s">
        <v>385</v>
      </c>
      <c r="C93" s="16" t="s">
        <v>69</v>
      </c>
      <c r="D93" s="94"/>
    </row>
    <row r="94" spans="1:4" ht="12.75">
      <c r="A94" s="94"/>
      <c r="B94" s="8" t="s">
        <v>611</v>
      </c>
      <c r="C94" s="16"/>
      <c r="D94" s="94"/>
    </row>
    <row r="95" spans="1:4" ht="29.25" customHeight="1">
      <c r="A95" s="94"/>
      <c r="B95" s="16" t="s">
        <v>384</v>
      </c>
      <c r="C95" s="16" t="s">
        <v>212</v>
      </c>
      <c r="D95" s="94"/>
    </row>
    <row r="96" spans="1:4" ht="45" customHeight="1">
      <c r="A96" s="94"/>
      <c r="B96" s="16" t="s">
        <v>700</v>
      </c>
      <c r="C96" s="16" t="s">
        <v>346</v>
      </c>
      <c r="D96" s="94"/>
    </row>
    <row r="97" spans="1:4" ht="45.75" customHeight="1">
      <c r="A97" s="94"/>
      <c r="B97" s="16" t="s">
        <v>640</v>
      </c>
      <c r="C97" s="16" t="s">
        <v>345</v>
      </c>
      <c r="D97" s="94"/>
    </row>
    <row r="98" spans="1:4" ht="28.5" customHeight="1">
      <c r="A98" s="94"/>
      <c r="B98" s="16" t="s">
        <v>13</v>
      </c>
      <c r="C98" s="16" t="s">
        <v>344</v>
      </c>
      <c r="D98" s="94"/>
    </row>
    <row r="99" spans="1:4" ht="12.75">
      <c r="A99" s="94"/>
      <c r="B99" s="8" t="s">
        <v>148</v>
      </c>
      <c r="C99" s="16"/>
      <c r="D99" s="94"/>
    </row>
    <row r="100" spans="1:4" ht="44.25" customHeight="1">
      <c r="A100" s="94"/>
      <c r="B100" s="16" t="s">
        <v>62</v>
      </c>
      <c r="C100" s="16" t="s">
        <v>61</v>
      </c>
      <c r="D100" s="94"/>
    </row>
    <row r="101" spans="1:4" ht="12.75">
      <c r="A101" s="94"/>
      <c r="B101" s="16" t="s">
        <v>63</v>
      </c>
      <c r="C101" s="16" t="s">
        <v>64</v>
      </c>
      <c r="D101" s="94"/>
    </row>
    <row r="102" spans="1:4" ht="12.75">
      <c r="A102" s="94"/>
      <c r="B102" s="8" t="s">
        <v>149</v>
      </c>
      <c r="C102" s="16"/>
      <c r="D102" s="94"/>
    </row>
    <row r="103" spans="1:4" ht="37.5" customHeight="1">
      <c r="A103" s="94"/>
      <c r="B103" s="16" t="s">
        <v>68</v>
      </c>
      <c r="C103" s="16" t="s">
        <v>66</v>
      </c>
      <c r="D103" s="94"/>
    </row>
    <row r="104" spans="1:4" ht="12.75">
      <c r="A104" s="94"/>
      <c r="B104" s="16" t="s">
        <v>65</v>
      </c>
      <c r="C104" s="16" t="s">
        <v>67</v>
      </c>
      <c r="D104" s="94"/>
    </row>
    <row r="105" spans="1:4" ht="12.75">
      <c r="A105" s="94"/>
      <c r="B105" s="8" t="s">
        <v>575</v>
      </c>
      <c r="C105" s="16"/>
      <c r="D105" s="94"/>
    </row>
    <row r="106" spans="1:4" ht="12.75">
      <c r="A106" s="94"/>
      <c r="B106" s="16" t="s">
        <v>442</v>
      </c>
      <c r="C106" s="16" t="s">
        <v>191</v>
      </c>
      <c r="D106" s="94"/>
    </row>
    <row r="107" spans="1:4" ht="12.75">
      <c r="A107" s="94"/>
      <c r="B107" s="16" t="s">
        <v>656</v>
      </c>
      <c r="C107" s="95" t="s">
        <v>296</v>
      </c>
      <c r="D107" s="94"/>
    </row>
    <row r="108" spans="1:4" ht="12.75">
      <c r="A108" s="94"/>
      <c r="B108" s="16" t="s">
        <v>163</v>
      </c>
      <c r="C108" s="95" t="s">
        <v>165</v>
      </c>
      <c r="D108" s="94"/>
    </row>
    <row r="109" spans="1:4" ht="12.75">
      <c r="A109" s="94"/>
      <c r="B109" s="16" t="s">
        <v>164</v>
      </c>
      <c r="C109" s="95" t="s">
        <v>166</v>
      </c>
      <c r="D109" s="94"/>
    </row>
    <row r="110" spans="1:4" ht="12.75">
      <c r="A110" s="94"/>
      <c r="B110" s="16" t="s">
        <v>17</v>
      </c>
      <c r="C110" s="95" t="s">
        <v>160</v>
      </c>
      <c r="D110" s="94"/>
    </row>
    <row r="111" spans="1:4" ht="12.75">
      <c r="A111" s="94"/>
      <c r="B111" s="16" t="s">
        <v>19</v>
      </c>
      <c r="C111" s="95" t="s">
        <v>161</v>
      </c>
      <c r="D111" s="94"/>
    </row>
    <row r="112" spans="1:4" ht="12.75">
      <c r="A112" s="94"/>
      <c r="B112" s="16" t="s">
        <v>18</v>
      </c>
      <c r="C112" s="95" t="s">
        <v>162</v>
      </c>
      <c r="D112" s="94"/>
    </row>
    <row r="113" spans="1:4" ht="12.75">
      <c r="A113" s="94"/>
      <c r="B113" s="8" t="s">
        <v>347</v>
      </c>
      <c r="C113" s="16"/>
      <c r="D113" s="94"/>
    </row>
    <row r="114" spans="1:4" ht="12.75">
      <c r="A114" s="94"/>
      <c r="B114" s="16" t="s">
        <v>172</v>
      </c>
      <c r="C114" s="16" t="s">
        <v>173</v>
      </c>
      <c r="D114" s="94"/>
    </row>
    <row r="115" spans="1:4" ht="12.75">
      <c r="A115" s="94"/>
      <c r="B115" s="16" t="s">
        <v>16</v>
      </c>
      <c r="C115" s="16" t="s">
        <v>169</v>
      </c>
      <c r="D115" s="94"/>
    </row>
    <row r="116" spans="1:4" ht="25.5">
      <c r="A116" s="94"/>
      <c r="B116" s="16" t="s">
        <v>170</v>
      </c>
      <c r="C116" s="16" t="s">
        <v>171</v>
      </c>
      <c r="D116" s="94"/>
    </row>
    <row r="117" spans="1:4" ht="12.75">
      <c r="A117" s="94"/>
      <c r="B117" s="16" t="s">
        <v>167</v>
      </c>
      <c r="C117" s="16" t="s">
        <v>168</v>
      </c>
      <c r="D117" s="94"/>
    </row>
    <row r="118" spans="1:4" ht="12.75">
      <c r="A118" s="94"/>
      <c r="B118" s="16" t="s">
        <v>176</v>
      </c>
      <c r="C118" s="16" t="s">
        <v>177</v>
      </c>
      <c r="D118" s="94"/>
    </row>
    <row r="119" spans="1:4" ht="12.75">
      <c r="A119" s="94"/>
      <c r="B119" s="16" t="s">
        <v>180</v>
      </c>
      <c r="C119" s="16" t="s">
        <v>181</v>
      </c>
      <c r="D119" s="94"/>
    </row>
    <row r="120" spans="1:4" ht="12.75">
      <c r="A120" s="94"/>
      <c r="B120" s="16" t="s">
        <v>178</v>
      </c>
      <c r="C120" s="16" t="s">
        <v>179</v>
      </c>
      <c r="D120" s="94"/>
    </row>
    <row r="121" spans="1:4" ht="12.75">
      <c r="A121" s="94"/>
      <c r="B121" s="16"/>
      <c r="C121" s="16"/>
      <c r="D121" s="94"/>
    </row>
    <row r="122" spans="1:4" ht="12.75">
      <c r="A122" s="2"/>
      <c r="B122" s="2"/>
      <c r="C122" s="2"/>
      <c r="D122" s="2"/>
    </row>
    <row r="123" spans="1:4" ht="25.5" customHeight="1">
      <c r="A123" s="2"/>
      <c r="B123" s="8" t="s">
        <v>199</v>
      </c>
      <c r="C123" s="16"/>
      <c r="D123" s="2"/>
    </row>
    <row r="124" spans="1:4" ht="12.75">
      <c r="A124" s="2"/>
      <c r="B124" s="17" t="s">
        <v>308</v>
      </c>
      <c r="C124" s="16" t="s">
        <v>336</v>
      </c>
      <c r="D124" s="2"/>
    </row>
    <row r="125" spans="1:4" ht="12.75">
      <c r="A125" s="2"/>
      <c r="B125" s="17" t="s">
        <v>338</v>
      </c>
      <c r="C125" s="16" t="s">
        <v>430</v>
      </c>
      <c r="D125" s="2"/>
    </row>
    <row r="126" spans="1:4" ht="12.75">
      <c r="A126" s="2"/>
      <c r="B126" s="17" t="s">
        <v>339</v>
      </c>
      <c r="C126" s="16" t="s">
        <v>84</v>
      </c>
      <c r="D126" s="2"/>
    </row>
    <row r="127" spans="1:4" ht="12.75">
      <c r="A127" s="2"/>
      <c r="B127" s="17" t="s">
        <v>307</v>
      </c>
      <c r="C127" s="16" t="s">
        <v>307</v>
      </c>
      <c r="D127" s="2"/>
    </row>
    <row r="128" spans="1:4" ht="12.75">
      <c r="A128" s="2"/>
      <c r="B128" s="17" t="s">
        <v>32</v>
      </c>
      <c r="C128" s="16" t="s">
        <v>337</v>
      </c>
      <c r="D128" s="2"/>
    </row>
    <row r="129" spans="1:4" ht="12.75">
      <c r="A129" s="2"/>
      <c r="B129" s="17" t="s">
        <v>399</v>
      </c>
      <c r="C129" s="16" t="s">
        <v>36</v>
      </c>
      <c r="D129" s="2"/>
    </row>
    <row r="130" spans="1:4" ht="12.75">
      <c r="A130" s="2"/>
      <c r="B130" s="17" t="s">
        <v>321</v>
      </c>
      <c r="C130" s="16" t="s">
        <v>322</v>
      </c>
      <c r="D130" s="2"/>
    </row>
    <row r="131" spans="1:4" ht="14.25">
      <c r="A131" s="2"/>
      <c r="B131" s="17" t="s">
        <v>309</v>
      </c>
      <c r="C131" s="16" t="s">
        <v>340</v>
      </c>
      <c r="D131" s="2"/>
    </row>
    <row r="132" spans="1:4" ht="14.25">
      <c r="A132" s="2"/>
      <c r="B132" s="17" t="s">
        <v>310</v>
      </c>
      <c r="C132" s="16" t="s">
        <v>341</v>
      </c>
      <c r="D132" s="2"/>
    </row>
    <row r="133" spans="1:4" ht="12.75">
      <c r="A133" s="2"/>
      <c r="B133" s="17" t="s">
        <v>319</v>
      </c>
      <c r="C133" s="16" t="s">
        <v>320</v>
      </c>
      <c r="D133" s="2"/>
    </row>
    <row r="134" spans="1:4" ht="12.75">
      <c r="A134" s="2"/>
      <c r="B134" s="17" t="s">
        <v>569</v>
      </c>
      <c r="C134" s="16" t="s">
        <v>54</v>
      </c>
      <c r="D134" s="2"/>
    </row>
    <row r="135" spans="1:4" ht="12.75">
      <c r="A135" s="2"/>
      <c r="B135" s="17" t="s">
        <v>397</v>
      </c>
      <c r="C135" s="16" t="s">
        <v>703</v>
      </c>
      <c r="D135" s="2"/>
    </row>
    <row r="136" spans="1:4" ht="12.75">
      <c r="A136" s="2"/>
      <c r="B136" s="17" t="s">
        <v>110</v>
      </c>
      <c r="C136" s="16" t="s">
        <v>111</v>
      </c>
      <c r="D136" s="2"/>
    </row>
    <row r="137" spans="1:4" ht="12.75">
      <c r="A137" s="2"/>
      <c r="B137" s="17" t="s">
        <v>34</v>
      </c>
      <c r="C137" s="16" t="s">
        <v>35</v>
      </c>
      <c r="D137" s="2"/>
    </row>
    <row r="138" spans="1:4" ht="12.75">
      <c r="A138" s="2"/>
      <c r="B138" s="17" t="s">
        <v>86</v>
      </c>
      <c r="C138" s="16" t="s">
        <v>91</v>
      </c>
      <c r="D138" s="2"/>
    </row>
    <row r="139" spans="1:4" ht="12.75">
      <c r="A139" s="2"/>
      <c r="B139" s="17" t="s">
        <v>87</v>
      </c>
      <c r="C139" s="16" t="s">
        <v>90</v>
      </c>
      <c r="D139" s="2"/>
    </row>
    <row r="140" spans="1:4" ht="12.75">
      <c r="A140" s="2"/>
      <c r="B140" s="17" t="s">
        <v>403</v>
      </c>
      <c r="C140" s="16" t="s">
        <v>55</v>
      </c>
      <c r="D140" s="2"/>
    </row>
    <row r="141" spans="1:4" ht="12.75">
      <c r="A141" s="2"/>
      <c r="B141" s="17" t="s">
        <v>45</v>
      </c>
      <c r="C141" s="16" t="s">
        <v>46</v>
      </c>
      <c r="D141" s="2"/>
    </row>
    <row r="142" spans="1:4" ht="12.75">
      <c r="A142" s="2"/>
      <c r="B142" s="17" t="s">
        <v>31</v>
      </c>
      <c r="C142" s="16" t="s">
        <v>613</v>
      </c>
      <c r="D142" s="2"/>
    </row>
    <row r="143" spans="1:4" ht="12.75">
      <c r="A143" s="2"/>
      <c r="B143" s="17" t="s">
        <v>332</v>
      </c>
      <c r="C143" s="16" t="s">
        <v>333</v>
      </c>
      <c r="D143" s="2"/>
    </row>
    <row r="144" spans="1:4" ht="12.75">
      <c r="A144" s="2"/>
      <c r="B144" s="17" t="s">
        <v>518</v>
      </c>
      <c r="C144" s="16" t="s">
        <v>85</v>
      </c>
      <c r="D144" s="2"/>
    </row>
    <row r="145" spans="1:4" ht="12.75">
      <c r="A145" s="2"/>
      <c r="B145" s="17" t="s">
        <v>404</v>
      </c>
      <c r="C145" s="16" t="s">
        <v>102</v>
      </c>
      <c r="D145" s="2"/>
    </row>
    <row r="146" spans="1:4" ht="12.75">
      <c r="A146" s="2"/>
      <c r="B146" s="17" t="s">
        <v>49</v>
      </c>
      <c r="C146" s="16" t="s">
        <v>50</v>
      </c>
      <c r="D146" s="2"/>
    </row>
    <row r="147" spans="1:4" ht="12.75">
      <c r="A147" s="2"/>
      <c r="B147" s="17" t="s">
        <v>33</v>
      </c>
      <c r="C147" s="16" t="s">
        <v>435</v>
      </c>
      <c r="D147" s="2"/>
    </row>
    <row r="148" spans="1:4" ht="12.75">
      <c r="A148" s="2"/>
      <c r="B148" s="17" t="s">
        <v>174</v>
      </c>
      <c r="C148" s="16" t="s">
        <v>175</v>
      </c>
      <c r="D148" s="2"/>
    </row>
    <row r="149" spans="1:4" ht="12.75">
      <c r="A149" s="2"/>
      <c r="B149" s="17" t="s">
        <v>328</v>
      </c>
      <c r="C149" s="16" t="s">
        <v>330</v>
      </c>
      <c r="D149" s="2"/>
    </row>
    <row r="150" spans="1:4" ht="12.75">
      <c r="A150" s="2"/>
      <c r="B150" s="17" t="s">
        <v>329</v>
      </c>
      <c r="C150" s="16" t="s">
        <v>331</v>
      </c>
      <c r="D150" s="2"/>
    </row>
    <row r="151" spans="1:4" ht="12.75">
      <c r="A151" s="2"/>
      <c r="B151" s="17" t="s">
        <v>43</v>
      </c>
      <c r="C151" s="16" t="s">
        <v>44</v>
      </c>
      <c r="D151" s="2"/>
    </row>
    <row r="152" spans="1:4" ht="12.75">
      <c r="A152" s="2"/>
      <c r="B152" s="17" t="s">
        <v>303</v>
      </c>
      <c r="C152" s="16" t="s">
        <v>304</v>
      </c>
      <c r="D152" s="2"/>
    </row>
    <row r="153" spans="1:4" ht="12.75">
      <c r="A153" s="2"/>
      <c r="B153" s="17" t="s">
        <v>311</v>
      </c>
      <c r="C153" s="16" t="s">
        <v>312</v>
      </c>
      <c r="D153" s="2"/>
    </row>
    <row r="154" spans="1:4" ht="12.75">
      <c r="A154" s="2"/>
      <c r="B154" s="17" t="s">
        <v>406</v>
      </c>
      <c r="C154" s="16" t="s">
        <v>105</v>
      </c>
      <c r="D154" s="2"/>
    </row>
    <row r="155" spans="1:4" ht="12.75">
      <c r="A155" s="2"/>
      <c r="B155" s="17" t="s">
        <v>51</v>
      </c>
      <c r="C155" s="16" t="s">
        <v>52</v>
      </c>
      <c r="D155" s="2"/>
    </row>
    <row r="156" spans="1:4" ht="12.75">
      <c r="A156" s="2"/>
      <c r="B156" s="17" t="s">
        <v>53</v>
      </c>
      <c r="C156" s="16" t="s">
        <v>693</v>
      </c>
      <c r="D156" s="2"/>
    </row>
    <row r="157" spans="1:4" ht="12.75">
      <c r="A157" s="2"/>
      <c r="B157" s="17" t="s">
        <v>428</v>
      </c>
      <c r="C157" s="16" t="s">
        <v>434</v>
      </c>
      <c r="D157" s="2"/>
    </row>
    <row r="158" spans="1:4" ht="12.75">
      <c r="A158" s="2"/>
      <c r="B158" s="17" t="s">
        <v>93</v>
      </c>
      <c r="C158" s="16" t="s">
        <v>94</v>
      </c>
      <c r="D158" s="2"/>
    </row>
    <row r="159" spans="1:4" ht="12.75">
      <c r="A159" s="2"/>
      <c r="B159" s="17" t="s">
        <v>334</v>
      </c>
      <c r="C159" s="16" t="s">
        <v>335</v>
      </c>
      <c r="D159" s="2"/>
    </row>
    <row r="160" spans="1:4" ht="12.75">
      <c r="A160" s="2"/>
      <c r="B160" s="17" t="s">
        <v>103</v>
      </c>
      <c r="C160" s="16" t="s">
        <v>104</v>
      </c>
      <c r="D160" s="2"/>
    </row>
    <row r="161" spans="1:4" ht="12.75">
      <c r="A161" s="2"/>
      <c r="B161" s="17" t="s">
        <v>47</v>
      </c>
      <c r="C161" s="16" t="s">
        <v>48</v>
      </c>
      <c r="D161" s="2"/>
    </row>
    <row r="162" spans="1:4" ht="12.75">
      <c r="A162" s="2"/>
      <c r="B162" s="17" t="s">
        <v>326</v>
      </c>
      <c r="C162" s="16" t="s">
        <v>327</v>
      </c>
      <c r="D162" s="2"/>
    </row>
    <row r="163" spans="1:4" ht="12.75">
      <c r="A163" s="2"/>
      <c r="B163" s="17" t="s">
        <v>42</v>
      </c>
      <c r="C163" s="16" t="s">
        <v>651</v>
      </c>
      <c r="D163" s="2"/>
    </row>
    <row r="164" spans="1:4" ht="12.75">
      <c r="A164" s="2"/>
      <c r="B164" s="17" t="s">
        <v>323</v>
      </c>
      <c r="C164" s="16" t="s">
        <v>398</v>
      </c>
      <c r="D164" s="2"/>
    </row>
    <row r="165" spans="1:4" ht="12.75">
      <c r="A165" s="2"/>
      <c r="B165" s="17" t="s">
        <v>325</v>
      </c>
      <c r="C165" s="16" t="s">
        <v>383</v>
      </c>
      <c r="D165" s="2"/>
    </row>
    <row r="166" spans="1:4" ht="12.75">
      <c r="A166" s="2"/>
      <c r="B166" s="17" t="s">
        <v>313</v>
      </c>
      <c r="C166" s="16" t="s">
        <v>316</v>
      </c>
      <c r="D166" s="2"/>
    </row>
    <row r="167" spans="1:4" ht="12.75">
      <c r="A167" s="2"/>
      <c r="B167" s="17" t="s">
        <v>106</v>
      </c>
      <c r="C167" s="16" t="s">
        <v>531</v>
      </c>
      <c r="D167" s="2"/>
    </row>
    <row r="168" spans="1:4" ht="12.75">
      <c r="A168" s="2"/>
      <c r="B168" s="17" t="s">
        <v>314</v>
      </c>
      <c r="C168" s="16" t="s">
        <v>315</v>
      </c>
      <c r="D168" s="2"/>
    </row>
    <row r="169" spans="1:4" ht="12.75">
      <c r="A169" s="2"/>
      <c r="B169" s="17" t="s">
        <v>317</v>
      </c>
      <c r="C169" s="16" t="s">
        <v>318</v>
      </c>
      <c r="D169" s="2"/>
    </row>
    <row r="170" spans="1:4" ht="12.75">
      <c r="A170" s="2"/>
      <c r="B170" s="17" t="s">
        <v>37</v>
      </c>
      <c r="C170" s="16" t="s">
        <v>38</v>
      </c>
      <c r="D170" s="2"/>
    </row>
    <row r="171" spans="1:4" ht="12.75">
      <c r="A171" s="2"/>
      <c r="B171" s="17" t="s">
        <v>88</v>
      </c>
      <c r="C171" s="16" t="s">
        <v>89</v>
      </c>
      <c r="D171" s="2"/>
    </row>
    <row r="172" spans="1:4" ht="12.75">
      <c r="A172" s="2"/>
      <c r="B172" s="17" t="s">
        <v>502</v>
      </c>
      <c r="C172" s="16" t="s">
        <v>30</v>
      </c>
      <c r="D172" s="2"/>
    </row>
    <row r="173" spans="1:4" ht="12.75">
      <c r="A173" s="2"/>
      <c r="B173" s="17" t="s">
        <v>39</v>
      </c>
      <c r="C173" s="16" t="s">
        <v>40</v>
      </c>
      <c r="D173" s="2"/>
    </row>
    <row r="174" spans="1:4" ht="12.75">
      <c r="A174" s="2"/>
      <c r="B174" s="17" t="s">
        <v>305</v>
      </c>
      <c r="C174" s="16" t="s">
        <v>306</v>
      </c>
      <c r="D174" s="2"/>
    </row>
    <row r="175" spans="1:4" ht="12.75">
      <c r="A175" s="2"/>
      <c r="B175" s="17" t="s">
        <v>41</v>
      </c>
      <c r="C175" s="16" t="s">
        <v>324</v>
      </c>
      <c r="D175" s="2"/>
    </row>
    <row r="176" spans="1:4" ht="12.75">
      <c r="A176" s="2"/>
      <c r="B176" s="17"/>
      <c r="C176" s="16"/>
      <c r="D176" s="2"/>
    </row>
    <row r="177" spans="1:4" ht="12.75">
      <c r="A177" s="11" t="str">
        <f>Terms!$A$22</f>
        <v>UnitsCalc20050823</v>
      </c>
      <c r="B177" s="2"/>
      <c r="C177" s="2"/>
      <c r="D177" s="13" t="s">
        <v>206</v>
      </c>
    </row>
  </sheetData>
  <sheetProtection sheet="1" objects="1" scenarios="1"/>
  <printOptions/>
  <pageMargins left="0.7480314960629921" right="0.7480314960629921" top="0.4724409448818898" bottom="0.5905511811023623" header="0.5118110236220472" footer="0.5118110236220472"/>
  <pageSetup fitToHeight="0" fitToWidth="1" horizontalDpi="300" verticalDpi="300" orientation="portrait" paperSize="9" scale="91" r:id="rId3"/>
  <headerFooter alignWithMargins="0">
    <oddFooter>&amp;L&amp;"Arial,Italic"&amp;9File: &amp;F Tab: &amp;A&amp;C&amp;"Arial,Italic"&amp;9Page &amp;P/&amp;N&amp;R&amp;"Arial,Italic"&amp;9Date Printed: &amp;D</oddFooter>
  </headerFooter>
  <rowBreaks count="4" manualBreakCount="4">
    <brk id="22" max="3" man="1"/>
    <brk id="55" max="3" man="1"/>
    <brk id="89" max="3" man="1"/>
    <brk id="122" max="3" man="1"/>
  </rowBreaks>
  <drawing r:id="rId2"/>
  <legacyDrawing r:id="rId1"/>
</worksheet>
</file>

<file path=xl/worksheets/sheet28.xml><?xml version="1.0" encoding="utf-8"?>
<worksheet xmlns="http://schemas.openxmlformats.org/spreadsheetml/2006/main" xmlns:r="http://schemas.openxmlformats.org/officeDocument/2006/relationships">
  <sheetPr codeName="Sheet27">
    <pageSetUpPr fitToPage="1"/>
  </sheetPr>
  <dimension ref="A1:J25"/>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00390625" style="3" customWidth="1"/>
    <col min="2" max="2" width="3.7109375" style="3" customWidth="1"/>
    <col min="3" max="6" width="9.7109375" style="3" customWidth="1"/>
    <col min="7" max="9" width="13.7109375" style="3" customWidth="1"/>
    <col min="10" max="10" width="3.421875" style="3" customWidth="1"/>
    <col min="11" max="16384" width="9.140625" style="3" customWidth="1"/>
  </cols>
  <sheetData>
    <row r="1" spans="1:10" ht="12.75">
      <c r="A1" s="147"/>
      <c r="B1" s="2"/>
      <c r="C1" s="18"/>
      <c r="D1" s="18"/>
      <c r="E1" s="18"/>
      <c r="F1" s="18"/>
      <c r="G1" s="18"/>
      <c r="H1" s="18"/>
      <c r="I1" s="18"/>
      <c r="J1" s="18"/>
    </row>
    <row r="2" spans="1:10" ht="15.75">
      <c r="A2" s="2"/>
      <c r="B2" s="4"/>
      <c r="C2" s="47" t="s">
        <v>391</v>
      </c>
      <c r="D2" s="48"/>
      <c r="E2" s="48"/>
      <c r="F2" s="48"/>
      <c r="G2" s="48"/>
      <c r="H2" s="48"/>
      <c r="I2" s="48"/>
      <c r="J2" s="2"/>
    </row>
    <row r="3" spans="1:10" ht="12.75">
      <c r="A3" s="2"/>
      <c r="B3" s="2"/>
      <c r="C3" s="18"/>
      <c r="D3" s="2"/>
      <c r="E3" s="175"/>
      <c r="F3" s="175"/>
      <c r="G3" s="175"/>
      <c r="H3" s="175"/>
      <c r="I3" s="175"/>
      <c r="J3" s="2"/>
    </row>
    <row r="4" spans="1:10" ht="12.75">
      <c r="A4" s="2"/>
      <c r="B4" s="176"/>
      <c r="C4" s="177"/>
      <c r="D4" s="176"/>
      <c r="E4" s="178"/>
      <c r="F4" s="178"/>
      <c r="G4" s="178"/>
      <c r="H4" s="178"/>
      <c r="I4" s="178"/>
      <c r="J4" s="2"/>
    </row>
    <row r="5" spans="1:10" ht="50.25" customHeight="1">
      <c r="A5" s="18"/>
      <c r="B5" s="184" t="s">
        <v>382</v>
      </c>
      <c r="C5" s="185"/>
      <c r="D5" s="185"/>
      <c r="E5" s="185"/>
      <c r="F5" s="185"/>
      <c r="G5" s="185"/>
      <c r="H5" s="185"/>
      <c r="I5" s="185"/>
      <c r="J5" s="2"/>
    </row>
    <row r="6" spans="1:10" ht="15.75" customHeight="1">
      <c r="A6" s="20"/>
      <c r="B6" s="8"/>
      <c r="C6" s="9"/>
      <c r="D6" s="9"/>
      <c r="J6" s="7"/>
    </row>
    <row r="7" spans="1:10" ht="32.25" customHeight="1">
      <c r="A7" s="18"/>
      <c r="B7" s="184" t="s">
        <v>381</v>
      </c>
      <c r="C7" s="185"/>
      <c r="D7" s="185"/>
      <c r="E7" s="185"/>
      <c r="F7" s="185"/>
      <c r="G7" s="185"/>
      <c r="H7" s="185"/>
      <c r="I7" s="185"/>
      <c r="J7" s="2"/>
    </row>
    <row r="8" spans="1:10" ht="15.75" customHeight="1">
      <c r="A8" s="20"/>
      <c r="B8" s="186" t="s">
        <v>702</v>
      </c>
      <c r="C8" s="187"/>
      <c r="D8" s="187"/>
      <c r="E8" s="187"/>
      <c r="F8" s="187"/>
      <c r="G8" s="187"/>
      <c r="H8" s="187"/>
      <c r="I8" s="187"/>
      <c r="J8" s="7"/>
    </row>
    <row r="9" spans="1:10" ht="15.75" customHeight="1">
      <c r="A9" s="20"/>
      <c r="B9" s="8"/>
      <c r="C9" s="9"/>
      <c r="D9" s="9"/>
      <c r="J9" s="7"/>
    </row>
    <row r="10" spans="1:10" ht="36" customHeight="1">
      <c r="A10" s="18"/>
      <c r="B10" s="184" t="s">
        <v>143</v>
      </c>
      <c r="C10" s="185"/>
      <c r="D10" s="185"/>
      <c r="E10" s="185"/>
      <c r="F10" s="185"/>
      <c r="G10" s="185"/>
      <c r="H10" s="185"/>
      <c r="I10" s="185"/>
      <c r="J10" s="2"/>
    </row>
    <row r="11" spans="1:10" ht="15.75" customHeight="1" thickBot="1">
      <c r="A11" s="20"/>
      <c r="B11" s="8"/>
      <c r="C11" s="9"/>
      <c r="D11" s="9"/>
      <c r="J11" s="7"/>
    </row>
    <row r="12" spans="1:10" ht="13.5" thickBot="1">
      <c r="A12" s="20"/>
      <c r="B12" s="118" t="s">
        <v>572</v>
      </c>
      <c r="C12" s="114" t="s">
        <v>392</v>
      </c>
      <c r="D12" s="115" t="s">
        <v>393</v>
      </c>
      <c r="E12" s="116" t="s">
        <v>394</v>
      </c>
      <c r="F12" s="116" t="s">
        <v>611</v>
      </c>
      <c r="G12" s="116" t="s">
        <v>395</v>
      </c>
      <c r="H12" s="116" t="s">
        <v>396</v>
      </c>
      <c r="I12" s="117" t="s">
        <v>397</v>
      </c>
      <c r="J12" s="7"/>
    </row>
    <row r="13" spans="1:10" ht="14.25">
      <c r="A13" s="18"/>
      <c r="B13" s="119">
        <v>1</v>
      </c>
      <c r="C13" s="110" t="s">
        <v>398</v>
      </c>
      <c r="D13" s="111" t="s">
        <v>518</v>
      </c>
      <c r="E13" s="112" t="s">
        <v>428</v>
      </c>
      <c r="F13" s="112" t="s">
        <v>502</v>
      </c>
      <c r="G13" s="112" t="s">
        <v>383</v>
      </c>
      <c r="H13" s="112" t="s">
        <v>710</v>
      </c>
      <c r="I13" s="113" t="s">
        <v>705</v>
      </c>
      <c r="J13" s="7"/>
    </row>
    <row r="14" spans="1:10" ht="15.75" customHeight="1">
      <c r="A14" s="20"/>
      <c r="B14" s="120">
        <v>2</v>
      </c>
      <c r="C14" s="54" t="s">
        <v>404</v>
      </c>
      <c r="D14" s="52" t="s">
        <v>704</v>
      </c>
      <c r="E14" s="51" t="s">
        <v>428</v>
      </c>
      <c r="F14" s="51" t="s">
        <v>502</v>
      </c>
      <c r="G14" s="51" t="s">
        <v>717</v>
      </c>
      <c r="H14" s="51" t="s">
        <v>711</v>
      </c>
      <c r="I14" s="105" t="s">
        <v>705</v>
      </c>
      <c r="J14" s="7"/>
    </row>
    <row r="15" spans="1:10" ht="14.25">
      <c r="A15" s="18"/>
      <c r="B15" s="120">
        <v>3</v>
      </c>
      <c r="C15" s="54" t="s">
        <v>404</v>
      </c>
      <c r="D15" s="52" t="s">
        <v>704</v>
      </c>
      <c r="E15" s="51" t="s">
        <v>399</v>
      </c>
      <c r="F15" s="51" t="s">
        <v>502</v>
      </c>
      <c r="G15" s="51" t="s">
        <v>718</v>
      </c>
      <c r="H15" s="51" t="s">
        <v>712</v>
      </c>
      <c r="I15" s="105" t="s">
        <v>706</v>
      </c>
      <c r="J15" s="2"/>
    </row>
    <row r="16" spans="1:10" ht="14.25">
      <c r="A16" s="18"/>
      <c r="B16" s="120">
        <v>4</v>
      </c>
      <c r="C16" s="53" t="s">
        <v>400</v>
      </c>
      <c r="D16" s="50" t="s">
        <v>703</v>
      </c>
      <c r="E16" s="51" t="s">
        <v>399</v>
      </c>
      <c r="F16" s="51" t="s">
        <v>502</v>
      </c>
      <c r="G16" s="51" t="s">
        <v>709</v>
      </c>
      <c r="H16" s="51" t="s">
        <v>713</v>
      </c>
      <c r="I16" s="105" t="s">
        <v>706</v>
      </c>
      <c r="J16" s="2"/>
    </row>
    <row r="17" spans="1:10" ht="14.25">
      <c r="A17" s="18"/>
      <c r="B17" s="120">
        <v>5</v>
      </c>
      <c r="C17" s="53" t="s">
        <v>405</v>
      </c>
      <c r="D17" s="50" t="s">
        <v>401</v>
      </c>
      <c r="E17" s="51" t="s">
        <v>399</v>
      </c>
      <c r="F17" s="51" t="s">
        <v>502</v>
      </c>
      <c r="G17" s="51" t="s">
        <v>721</v>
      </c>
      <c r="H17" s="51" t="s">
        <v>714</v>
      </c>
      <c r="I17" s="105" t="s">
        <v>706</v>
      </c>
      <c r="J17" s="2"/>
    </row>
    <row r="18" spans="1:10" ht="15.75" customHeight="1">
      <c r="A18" s="20"/>
      <c r="B18" s="120">
        <v>6</v>
      </c>
      <c r="C18" s="54" t="s">
        <v>406</v>
      </c>
      <c r="D18" s="52" t="s">
        <v>402</v>
      </c>
      <c r="E18" s="51" t="s">
        <v>569</v>
      </c>
      <c r="F18" s="51" t="s">
        <v>502</v>
      </c>
      <c r="G18" s="51" t="s">
        <v>719</v>
      </c>
      <c r="H18" s="51" t="s">
        <v>715</v>
      </c>
      <c r="I18" s="105" t="s">
        <v>707</v>
      </c>
      <c r="J18" s="7"/>
    </row>
    <row r="19" spans="1:10" ht="15" thickBot="1">
      <c r="A19" s="20"/>
      <c r="B19" s="121">
        <v>7</v>
      </c>
      <c r="C19" s="106" t="s">
        <v>406</v>
      </c>
      <c r="D19" s="107" t="s">
        <v>407</v>
      </c>
      <c r="E19" s="108" t="s">
        <v>403</v>
      </c>
      <c r="F19" s="108" t="s">
        <v>502</v>
      </c>
      <c r="G19" s="108" t="s">
        <v>720</v>
      </c>
      <c r="H19" s="108" t="s">
        <v>716</v>
      </c>
      <c r="I19" s="109" t="s">
        <v>708</v>
      </c>
      <c r="J19" s="7"/>
    </row>
    <row r="20" spans="1:10" ht="12.75">
      <c r="A20" s="20"/>
      <c r="B20" s="55"/>
      <c r="C20" s="56"/>
      <c r="D20" s="56"/>
      <c r="E20" s="57"/>
      <c r="F20" s="57"/>
      <c r="G20" s="57"/>
      <c r="H20" s="57"/>
      <c r="I20" s="57"/>
      <c r="J20" s="7"/>
    </row>
    <row r="21" spans="1:10" ht="63.75" customHeight="1">
      <c r="A21" s="20"/>
      <c r="B21" s="184" t="s">
        <v>500</v>
      </c>
      <c r="C21" s="185"/>
      <c r="D21" s="185"/>
      <c r="E21" s="185"/>
      <c r="F21" s="185"/>
      <c r="G21" s="185"/>
      <c r="H21" s="185"/>
      <c r="I21" s="185"/>
      <c r="J21" s="7"/>
    </row>
    <row r="22" spans="1:10" ht="19.5" customHeight="1">
      <c r="A22" s="20"/>
      <c r="B22" s="8" t="s">
        <v>141</v>
      </c>
      <c r="C22" s="134"/>
      <c r="D22" s="134"/>
      <c r="E22" s="134"/>
      <c r="F22" s="134"/>
      <c r="G22" s="134"/>
      <c r="H22" s="134"/>
      <c r="I22" s="134"/>
      <c r="J22" s="7"/>
    </row>
    <row r="23" spans="1:10" ht="31.5" customHeight="1">
      <c r="A23" s="20"/>
      <c r="B23" s="16">
        <v>1</v>
      </c>
      <c r="C23" s="183" t="s">
        <v>142</v>
      </c>
      <c r="D23" s="183"/>
      <c r="E23" s="183"/>
      <c r="F23" s="183"/>
      <c r="G23" s="183"/>
      <c r="H23" s="183"/>
      <c r="I23" s="183"/>
      <c r="J23" s="7"/>
    </row>
    <row r="24" spans="1:10" ht="12.75">
      <c r="A24" s="20"/>
      <c r="B24" s="55"/>
      <c r="C24" s="56"/>
      <c r="D24" s="56"/>
      <c r="E24" s="57"/>
      <c r="F24" s="57"/>
      <c r="G24" s="57"/>
      <c r="H24" s="57"/>
      <c r="I24" s="57"/>
      <c r="J24" s="7"/>
    </row>
    <row r="25" spans="1:10" ht="12.75">
      <c r="A25" s="11" t="str">
        <f>Terms!$A$22</f>
        <v>UnitsCalc20050823</v>
      </c>
      <c r="B25" s="23"/>
      <c r="C25" s="24"/>
      <c r="D25" s="13"/>
      <c r="E25" s="13"/>
      <c r="F25" s="13"/>
      <c r="G25" s="13"/>
      <c r="H25" s="13"/>
      <c r="I25" s="13"/>
      <c r="J25" s="13" t="s">
        <v>206</v>
      </c>
    </row>
  </sheetData>
  <sheetProtection sheet="1" objects="1" scenarios="1"/>
  <mergeCells count="6">
    <mergeCell ref="C23:I23"/>
    <mergeCell ref="B5:I5"/>
    <mergeCell ref="B7:I7"/>
    <mergeCell ref="B10:I10"/>
    <mergeCell ref="B21:I21"/>
    <mergeCell ref="B8:I8"/>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96" r:id="rId2"/>
  <headerFooter alignWithMargins="0">
    <oddFooter>&amp;L&amp;"Arial,Italic"&amp;9File: &amp;F Tab: &amp;A&amp;C&amp;"Arial,Italic"&amp;9Page &amp;P/&amp;N&amp;R&amp;"Arial,Italic"Date Printed: &amp;D</oddFooter>
  </headerFooter>
  <legacyDrawing r:id="rId1"/>
</worksheet>
</file>

<file path=xl/worksheets/sheet29.xml><?xml version="1.0" encoding="utf-8"?>
<worksheet xmlns="http://schemas.openxmlformats.org/spreadsheetml/2006/main" xmlns:r="http://schemas.openxmlformats.org/officeDocument/2006/relationships">
  <sheetPr codeName="Sheet14">
    <pageSetUpPr fitToPage="1"/>
  </sheetPr>
  <dimension ref="A1:D22"/>
  <sheetViews>
    <sheetView showGridLines="0" showRowColHeaders="0" workbookViewId="0" topLeftCell="A1">
      <pane ySplit="3" topLeftCell="BM16" activePane="bottomLeft" state="frozen"/>
      <selection pane="topLeft" activeCell="A1" sqref="A1"/>
      <selection pane="bottomLeft" activeCell="A2" sqref="A2"/>
    </sheetView>
  </sheetViews>
  <sheetFormatPr defaultColWidth="9.140625" defaultRowHeight="12.75"/>
  <cols>
    <col min="1" max="1" width="3.28125" style="3" customWidth="1"/>
    <col min="2" max="2" width="2.140625" style="3" customWidth="1"/>
    <col min="3" max="3" width="78.28125" style="3" customWidth="1"/>
    <col min="4" max="4" width="2.8515625" style="3" customWidth="1"/>
    <col min="5" max="5" width="9.140625" style="3" customWidth="1"/>
    <col min="6" max="6" width="98.140625" style="3" customWidth="1"/>
    <col min="7" max="16384" width="9.140625" style="3" customWidth="1"/>
  </cols>
  <sheetData>
    <row r="1" spans="1:4" ht="15" customHeight="1">
      <c r="A1" s="147"/>
      <c r="B1" s="2"/>
      <c r="C1" s="18"/>
      <c r="D1" s="2"/>
    </row>
    <row r="2" spans="1:4" ht="15.75">
      <c r="A2" s="2"/>
      <c r="B2" s="4"/>
      <c r="C2" s="19" t="s">
        <v>511</v>
      </c>
      <c r="D2" s="2"/>
    </row>
    <row r="3" spans="1:4" ht="12.75">
      <c r="A3" s="2"/>
      <c r="B3" s="2"/>
      <c r="C3" s="18"/>
      <c r="D3" s="2"/>
    </row>
    <row r="4" spans="1:4" ht="15.75" customHeight="1">
      <c r="A4" s="20"/>
      <c r="B4" s="8" t="s">
        <v>503</v>
      </c>
      <c r="C4" s="9"/>
      <c r="D4" s="7"/>
    </row>
    <row r="5" spans="1:4" ht="60" customHeight="1">
      <c r="A5" s="18"/>
      <c r="B5" s="21"/>
      <c r="C5" s="16" t="s">
        <v>358</v>
      </c>
      <c r="D5" s="2"/>
    </row>
    <row r="6" spans="1:4" ht="15.75" customHeight="1">
      <c r="A6" s="20"/>
      <c r="B6" s="8" t="s">
        <v>504</v>
      </c>
      <c r="C6" s="9"/>
      <c r="D6" s="7"/>
    </row>
    <row r="7" spans="1:4" ht="38.25">
      <c r="A7" s="18"/>
      <c r="B7" s="21"/>
      <c r="C7" s="16" t="s">
        <v>505</v>
      </c>
      <c r="D7" s="2"/>
    </row>
    <row r="8" spans="1:4" ht="15.75" customHeight="1">
      <c r="A8" s="20"/>
      <c r="B8" s="8" t="s">
        <v>506</v>
      </c>
      <c r="C8" s="9"/>
      <c r="D8" s="7"/>
    </row>
    <row r="9" spans="1:4" ht="57.75" customHeight="1">
      <c r="A9" s="20"/>
      <c r="B9" s="22"/>
      <c r="C9" s="16" t="s">
        <v>22</v>
      </c>
      <c r="D9" s="7"/>
    </row>
    <row r="10" spans="1:4" ht="57" customHeight="1">
      <c r="A10" s="18"/>
      <c r="B10" s="21"/>
      <c r="C10" s="16" t="s">
        <v>359</v>
      </c>
      <c r="D10" s="2"/>
    </row>
    <row r="11" spans="1:4" ht="18" customHeight="1">
      <c r="A11" s="20"/>
      <c r="B11" s="8" t="s">
        <v>507</v>
      </c>
      <c r="C11" s="9"/>
      <c r="D11" s="7"/>
    </row>
    <row r="12" spans="1:4" ht="34.5" customHeight="1">
      <c r="A12" s="18"/>
      <c r="B12" s="21"/>
      <c r="C12" s="16" t="s">
        <v>360</v>
      </c>
      <c r="D12" s="2"/>
    </row>
    <row r="13" spans="1:4" ht="53.25" customHeight="1">
      <c r="A13" s="18"/>
      <c r="B13" s="21"/>
      <c r="C13" s="16" t="s">
        <v>361</v>
      </c>
      <c r="D13" s="2"/>
    </row>
    <row r="14" spans="1:4" ht="48.75" customHeight="1">
      <c r="A14" s="18"/>
      <c r="B14" s="21"/>
      <c r="C14" s="16" t="s">
        <v>364</v>
      </c>
      <c r="D14" s="2"/>
    </row>
    <row r="15" spans="1:4" ht="48.75" customHeight="1">
      <c r="A15" s="18"/>
      <c r="B15" s="21"/>
      <c r="C15" s="16" t="s">
        <v>362</v>
      </c>
      <c r="D15" s="2"/>
    </row>
    <row r="16" spans="1:4" ht="35.25" customHeight="1">
      <c r="A16" s="18"/>
      <c r="B16" s="21"/>
      <c r="C16" s="16" t="s">
        <v>363</v>
      </c>
      <c r="D16" s="2"/>
    </row>
    <row r="17" spans="1:4" ht="18" customHeight="1">
      <c r="A17" s="20"/>
      <c r="B17" s="8" t="s">
        <v>508</v>
      </c>
      <c r="C17" s="9"/>
      <c r="D17" s="7"/>
    </row>
    <row r="18" spans="1:4" ht="47.25" customHeight="1">
      <c r="A18" s="20"/>
      <c r="B18" s="22"/>
      <c r="C18" s="16" t="s">
        <v>356</v>
      </c>
      <c r="D18" s="7"/>
    </row>
    <row r="19" spans="1:4" ht="62.25" customHeight="1">
      <c r="A19" s="20"/>
      <c r="B19" s="22"/>
      <c r="C19" s="16" t="s">
        <v>357</v>
      </c>
      <c r="D19" s="7"/>
    </row>
    <row r="20" spans="1:4" ht="38.25">
      <c r="A20" s="18"/>
      <c r="B20" s="21"/>
      <c r="C20" s="16" t="s">
        <v>509</v>
      </c>
      <c r="D20" s="2"/>
    </row>
    <row r="21" spans="1:4" ht="12.75">
      <c r="A21" s="18"/>
      <c r="B21" s="21"/>
      <c r="C21" s="16"/>
      <c r="D21" s="2"/>
    </row>
    <row r="22" spans="1:4" ht="12.75">
      <c r="A22" s="11" t="s">
        <v>205</v>
      </c>
      <c r="B22" s="23"/>
      <c r="C22" s="24"/>
      <c r="D22" s="13" t="s">
        <v>206</v>
      </c>
    </row>
  </sheetData>
  <sheetProtection sheet="1" objects="1" scenarios="1"/>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93" r:id="rId2"/>
  <headerFooter alignWithMargins="0">
    <oddFooter>&amp;L&amp;"Arial,Italic"&amp;9File: &amp;F Tab: &amp;A&amp;C&amp;"Arial,Italic"&amp;9Page &amp;P/&amp;N&amp;R&amp;"Arial,Italic"Date Printed: &amp;D</oddFooter>
  </headerFooter>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G14"/>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7109375" style="0" customWidth="1"/>
    <col min="2" max="2" width="30.7109375" style="0" customWidth="1"/>
    <col min="3" max="3" width="18.7109375" style="0" customWidth="1"/>
    <col min="4" max="4" width="23.7109375" style="0" customWidth="1"/>
    <col min="5" max="5" width="3.140625" style="0" customWidth="1"/>
    <col min="6" max="6" width="13.00390625" style="0" hidden="1" customWidth="1"/>
    <col min="7" max="7" width="9.28125" style="0" hidden="1" customWidth="1"/>
  </cols>
  <sheetData>
    <row r="1" spans="1:6" ht="15" customHeight="1" thickBot="1">
      <c r="A1" s="147"/>
      <c r="B1" s="36" t="s">
        <v>727</v>
      </c>
      <c r="C1" s="36"/>
      <c r="D1" s="36"/>
      <c r="E1" s="179" t="str">
        <f>Decimals!C6</f>
        <v>F</v>
      </c>
      <c r="F1" s="67">
        <v>3</v>
      </c>
    </row>
    <row r="2" spans="1:7" ht="13.5" thickBot="1">
      <c r="A2" s="70"/>
      <c r="B2" s="150" t="s">
        <v>662</v>
      </c>
      <c r="C2" s="128">
        <v>1</v>
      </c>
      <c r="D2" s="68" t="e">
        <f>Ucorig()</f>
        <v>#VALUE!</v>
      </c>
      <c r="E2" s="82"/>
      <c r="F2" s="67">
        <v>7E-05</v>
      </c>
      <c r="G2">
        <v>13</v>
      </c>
    </row>
    <row r="3" spans="1:6" ht="12.75">
      <c r="A3" s="70"/>
      <c r="B3" s="124" t="e">
        <f>Ucd()</f>
        <v>#VALUE!</v>
      </c>
      <c r="C3" s="59" t="e">
        <f aca="true" t="shared" si="0" ref="C3:C13">Uc(ROW())</f>
        <v>#VALUE!</v>
      </c>
      <c r="D3" s="60" t="s">
        <v>416</v>
      </c>
      <c r="E3" s="71"/>
      <c r="F3">
        <f>360*60*60</f>
        <v>1296000</v>
      </c>
    </row>
    <row r="4" spans="1:6" ht="12.75">
      <c r="A4" s="70"/>
      <c r="B4" s="129" t="e">
        <f aca="true" t="shared" si="1" ref="B4:B13">Ucd()</f>
        <v>#VALUE!</v>
      </c>
      <c r="C4" s="62" t="e">
        <f t="shared" si="0"/>
        <v>#VALUE!</v>
      </c>
      <c r="D4" s="63" t="s">
        <v>411</v>
      </c>
      <c r="E4" s="71"/>
      <c r="F4">
        <f>360*60</f>
        <v>21600</v>
      </c>
    </row>
    <row r="5" spans="1:6" ht="13.5" thickBot="1">
      <c r="A5" s="70"/>
      <c r="B5" s="130" t="e">
        <f t="shared" si="1"/>
        <v>#VALUE!</v>
      </c>
      <c r="C5" s="65" t="e">
        <f t="shared" si="0"/>
        <v>#VALUE!</v>
      </c>
      <c r="D5" s="66" t="s">
        <v>410</v>
      </c>
      <c r="E5" s="71"/>
      <c r="F5">
        <v>360</v>
      </c>
    </row>
    <row r="6" spans="1:6" ht="13.5" thickBot="1">
      <c r="A6" s="70"/>
      <c r="B6" s="131" t="e">
        <f t="shared" si="1"/>
        <v>#VALUE!</v>
      </c>
      <c r="C6" s="49" t="e">
        <f t="shared" si="0"/>
        <v>#VALUE!</v>
      </c>
      <c r="D6" s="68" t="s">
        <v>414</v>
      </c>
      <c r="E6" s="71"/>
      <c r="F6">
        <f>2*PI()</f>
        <v>6.283185307179586</v>
      </c>
    </row>
    <row r="7" spans="1:6" ht="13.5" thickBot="1">
      <c r="A7" s="70"/>
      <c r="B7" s="131" t="e">
        <f t="shared" si="1"/>
        <v>#VALUE!</v>
      </c>
      <c r="C7" s="49" t="e">
        <f t="shared" si="0"/>
        <v>#VALUE!</v>
      </c>
      <c r="D7" s="68" t="s">
        <v>286</v>
      </c>
      <c r="E7" s="71"/>
      <c r="F7">
        <v>400</v>
      </c>
    </row>
    <row r="8" spans="1:6" ht="12.75">
      <c r="A8" s="70"/>
      <c r="B8" s="124" t="e">
        <f t="shared" si="1"/>
        <v>#VALUE!</v>
      </c>
      <c r="C8" s="59" t="e">
        <f t="shared" si="0"/>
        <v>#VALUE!</v>
      </c>
      <c r="D8" s="60" t="s">
        <v>412</v>
      </c>
      <c r="E8" s="71"/>
      <c r="F8">
        <v>8</v>
      </c>
    </row>
    <row r="9" spans="1:6" ht="12.75">
      <c r="A9" s="70"/>
      <c r="B9" s="129" t="e">
        <f t="shared" si="1"/>
        <v>#VALUE!</v>
      </c>
      <c r="C9" s="62" t="e">
        <f t="shared" si="0"/>
        <v>#VALUE!</v>
      </c>
      <c r="D9" s="63" t="s">
        <v>417</v>
      </c>
      <c r="E9" s="71"/>
      <c r="F9">
        <v>6</v>
      </c>
    </row>
    <row r="10" spans="1:6" ht="13.5" thickBot="1">
      <c r="A10" s="70"/>
      <c r="B10" s="130" t="e">
        <f t="shared" si="1"/>
        <v>#VALUE!</v>
      </c>
      <c r="C10" s="65" t="e">
        <f t="shared" si="0"/>
        <v>#VALUE!</v>
      </c>
      <c r="D10" s="66" t="s">
        <v>413</v>
      </c>
      <c r="E10" s="71"/>
      <c r="F10">
        <v>4</v>
      </c>
    </row>
    <row r="11" spans="1:6" ht="12.75">
      <c r="A11" s="70"/>
      <c r="B11" s="129" t="e">
        <f t="shared" si="1"/>
        <v>#VALUE!</v>
      </c>
      <c r="C11" s="62" t="e">
        <f t="shared" si="0"/>
        <v>#VALUE!</v>
      </c>
      <c r="D11" s="63" t="s">
        <v>409</v>
      </c>
      <c r="E11" s="71"/>
      <c r="F11">
        <v>1</v>
      </c>
    </row>
    <row r="12" spans="1:6" ht="12.75">
      <c r="A12" s="70"/>
      <c r="B12" s="129" t="e">
        <f t="shared" si="1"/>
        <v>#VALUE!</v>
      </c>
      <c r="C12" s="62" t="e">
        <f t="shared" si="0"/>
        <v>#VALUE!</v>
      </c>
      <c r="D12" s="63" t="s">
        <v>415</v>
      </c>
      <c r="E12" s="71"/>
      <c r="F12">
        <v>1</v>
      </c>
    </row>
    <row r="13" spans="1:6" ht="13.5" thickBot="1">
      <c r="A13" s="70"/>
      <c r="B13" s="126" t="e">
        <f t="shared" si="1"/>
        <v>#VALUE!</v>
      </c>
      <c r="C13" s="65" t="e">
        <f t="shared" si="0"/>
        <v>#VALUE!</v>
      </c>
      <c r="D13" s="66" t="s">
        <v>418</v>
      </c>
      <c r="E13" s="71"/>
      <c r="F13">
        <v>1</v>
      </c>
    </row>
    <row r="14" spans="1:5" ht="12.75">
      <c r="A14" s="11" t="str">
        <f>Terms!$A$22</f>
        <v>UnitsCalc20050823</v>
      </c>
      <c r="B14" s="70"/>
      <c r="C14" s="70"/>
      <c r="D14" s="70"/>
      <c r="E14" s="13" t="s">
        <v>206</v>
      </c>
    </row>
  </sheetData>
  <sheetProtection sheet="1" objects="1" scenarios="1"/>
  <conditionalFormatting sqref="C3:C13">
    <cfRule type="expression" priority="1" dxfId="0" stopIfTrue="1">
      <formula>ROW()&lt;&gt;$F$1</formula>
    </cfRule>
  </conditionalFormatting>
  <conditionalFormatting sqref="B3:B13 D3:D13">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30.xml><?xml version="1.0" encoding="utf-8"?>
<worksheet xmlns="http://schemas.openxmlformats.org/spreadsheetml/2006/main" xmlns:r="http://schemas.openxmlformats.org/officeDocument/2006/relationships">
  <sheetPr codeName="Sheet15">
    <pageSetUpPr fitToPage="1"/>
  </sheetPr>
  <dimension ref="A1:D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7109375" style="3" customWidth="1"/>
    <col min="2" max="2" width="12.28125" style="3" customWidth="1"/>
    <col min="3" max="3" width="65.57421875" style="3" customWidth="1"/>
    <col min="4" max="4" width="3.421875" style="3" customWidth="1"/>
    <col min="5" max="16384" width="9.140625" style="3" customWidth="1"/>
  </cols>
  <sheetData>
    <row r="1" spans="1:4" ht="12.75">
      <c r="A1" s="149"/>
      <c r="B1" s="25"/>
      <c r="C1" s="26"/>
      <c r="D1" s="25"/>
    </row>
    <row r="2" spans="1:4" ht="15.75">
      <c r="A2" s="25"/>
      <c r="B2" s="27"/>
      <c r="C2" s="28" t="s">
        <v>510</v>
      </c>
      <c r="D2" s="25"/>
    </row>
    <row r="3" spans="1:4" ht="12.75">
      <c r="A3" s="29"/>
      <c r="B3" s="182" t="s">
        <v>440</v>
      </c>
      <c r="C3" s="31" t="s">
        <v>441</v>
      </c>
      <c r="D3" s="29"/>
    </row>
    <row r="4" spans="1:4" ht="12.75">
      <c r="A4" s="25"/>
      <c r="B4" s="182" t="s">
        <v>666</v>
      </c>
      <c r="C4" s="31" t="s">
        <v>209</v>
      </c>
      <c r="D4" s="25"/>
    </row>
    <row r="5" spans="1:4" ht="25.5">
      <c r="A5" s="25"/>
      <c r="B5" s="182" t="s">
        <v>287</v>
      </c>
      <c r="C5" s="31" t="s">
        <v>288</v>
      </c>
      <c r="D5" s="25"/>
    </row>
    <row r="6" spans="1:4" ht="25.5">
      <c r="A6" s="25"/>
      <c r="B6" s="182" t="s">
        <v>204</v>
      </c>
      <c r="C6" s="31" t="s">
        <v>207</v>
      </c>
      <c r="D6" s="25"/>
    </row>
    <row r="7" spans="1:4" ht="12.75">
      <c r="A7" s="25"/>
      <c r="B7" s="30"/>
      <c r="C7" s="31"/>
      <c r="D7" s="25"/>
    </row>
    <row r="8" spans="1:4" ht="12.75">
      <c r="A8" s="25"/>
      <c r="B8" s="30"/>
      <c r="C8" s="32"/>
      <c r="D8" s="25"/>
    </row>
    <row r="9" spans="1:4" ht="12.75">
      <c r="A9" s="11" t="str">
        <f>Terms!$A$22</f>
        <v>UnitsCalc20050823</v>
      </c>
      <c r="B9" s="25"/>
      <c r="C9" s="33"/>
      <c r="D9" s="13" t="s">
        <v>206</v>
      </c>
    </row>
  </sheetData>
  <sheetProtection sheet="1" objects="1" scenarios="1"/>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r:id="rId2"/>
  <headerFooter alignWithMargins="0">
    <oddFooter>&amp;L&amp;"Arial,Italic"&amp;8File: &amp;F Tab: &amp;A&amp;R&amp;"Arial,Italic"&amp;8Date Printed: &amp;D</oddFooter>
  </headerFooter>
  <legacyDrawing r:id="rId1"/>
</worksheet>
</file>

<file path=xl/worksheets/sheet4.xml><?xml version="1.0" encoding="utf-8"?>
<worksheet xmlns="http://schemas.openxmlformats.org/spreadsheetml/2006/main" xmlns:r="http://schemas.openxmlformats.org/officeDocument/2006/relationships">
  <sheetPr codeName="Sheet28">
    <pageSetUpPr fitToPage="1"/>
  </sheetPr>
  <dimension ref="A1:G7"/>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25.421875" style="0" customWidth="1"/>
    <col min="3" max="3" width="18.7109375" style="0" customWidth="1"/>
    <col min="4" max="4" width="23.7109375" style="0" customWidth="1"/>
    <col min="5" max="5" width="3.140625" style="0" customWidth="1"/>
    <col min="6" max="6" width="12.00390625" style="0" hidden="1" customWidth="1"/>
    <col min="7" max="7" width="7.57421875" style="0" hidden="1" customWidth="1"/>
  </cols>
  <sheetData>
    <row r="1" spans="1:6" ht="15" customHeight="1" thickBot="1">
      <c r="A1" s="147"/>
      <c r="B1" s="36" t="s">
        <v>728</v>
      </c>
      <c r="C1" s="36"/>
      <c r="D1" s="36"/>
      <c r="E1" s="179" t="str">
        <f>Decimals!C6</f>
        <v>F</v>
      </c>
      <c r="F1" s="67">
        <v>3</v>
      </c>
    </row>
    <row r="2" spans="1:7" ht="13.5" thickBot="1">
      <c r="A2" s="70"/>
      <c r="B2" s="150" t="s">
        <v>662</v>
      </c>
      <c r="C2" s="128">
        <v>1</v>
      </c>
      <c r="D2" s="68" t="e">
        <f>Ucorig()</f>
        <v>#VALUE!</v>
      </c>
      <c r="E2" s="82"/>
      <c r="F2" s="67">
        <v>1</v>
      </c>
      <c r="G2">
        <v>6</v>
      </c>
    </row>
    <row r="3" spans="1:6" ht="12.75">
      <c r="A3" s="70"/>
      <c r="B3" s="124" t="e">
        <f>Ucd()</f>
        <v>#VALUE!</v>
      </c>
      <c r="C3" s="59" t="e">
        <f>Uc(ROW())</f>
        <v>#VALUE!</v>
      </c>
      <c r="D3" s="60" t="s">
        <v>732</v>
      </c>
      <c r="E3" s="71"/>
      <c r="F3">
        <f>4*PI()</f>
        <v>12.566370614359172</v>
      </c>
    </row>
    <row r="4" spans="1:6" ht="12.75">
      <c r="A4" s="70"/>
      <c r="B4" s="129" t="e">
        <f>Ucd()</f>
        <v>#VALUE!</v>
      </c>
      <c r="C4" s="62" t="e">
        <f>Uc(ROW())</f>
        <v>#VALUE!</v>
      </c>
      <c r="D4" s="63" t="s">
        <v>731</v>
      </c>
      <c r="E4" s="71"/>
      <c r="F4">
        <v>8</v>
      </c>
    </row>
    <row r="5" spans="1:6" ht="12.75">
      <c r="A5" s="70"/>
      <c r="B5" s="129" t="e">
        <f>Ucd()</f>
        <v>#VALUE!</v>
      </c>
      <c r="C5" s="62" t="e">
        <f>Uc(ROW())</f>
        <v>#VALUE!</v>
      </c>
      <c r="D5" s="63" t="s">
        <v>730</v>
      </c>
      <c r="E5" s="71"/>
      <c r="F5">
        <v>2</v>
      </c>
    </row>
    <row r="6" spans="1:6" ht="13.5" thickBot="1">
      <c r="A6" s="70"/>
      <c r="B6" s="126" t="e">
        <f>Ucd()</f>
        <v>#VALUE!</v>
      </c>
      <c r="C6" s="65" t="e">
        <f>Uc(ROW())</f>
        <v>#VALUE!</v>
      </c>
      <c r="D6" s="66" t="s">
        <v>729</v>
      </c>
      <c r="E6" s="71"/>
      <c r="F6">
        <v>1</v>
      </c>
    </row>
    <row r="7" spans="1:5" ht="12.75">
      <c r="A7" s="11" t="str">
        <f>Terms!$A$22</f>
        <v>UnitsCalc20050823</v>
      </c>
      <c r="B7" s="70"/>
      <c r="C7" s="70"/>
      <c r="D7" s="70"/>
      <c r="E7" s="13" t="s">
        <v>206</v>
      </c>
    </row>
  </sheetData>
  <sheetProtection sheet="1" objects="1" scenarios="1"/>
  <conditionalFormatting sqref="C3:C6">
    <cfRule type="expression" priority="1" dxfId="0" stopIfTrue="1">
      <formula>ROW()&lt;&gt;$F$1</formula>
    </cfRule>
  </conditionalFormatting>
  <conditionalFormatting sqref="B3:B6 D3:D6">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G21"/>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23.140625" style="0" customWidth="1"/>
    <col min="3" max="3" width="18.7109375" style="0" customWidth="1"/>
    <col min="4" max="4" width="20.28125" style="0" customWidth="1"/>
    <col min="5" max="5" width="4.00390625" style="0" customWidth="1"/>
    <col min="6" max="6" width="12.421875" style="0" hidden="1" customWidth="1"/>
    <col min="7" max="7" width="9.28125" style="0" hidden="1" customWidth="1"/>
  </cols>
  <sheetData>
    <row r="1" spans="1:6" ht="15" customHeight="1" thickBot="1">
      <c r="A1" s="147"/>
      <c r="B1" s="36" t="s">
        <v>390</v>
      </c>
      <c r="C1" s="36"/>
      <c r="D1" s="36"/>
      <c r="E1" s="179" t="str">
        <f>Decimals!C6</f>
        <v>F</v>
      </c>
      <c r="F1" s="67">
        <v>3</v>
      </c>
    </row>
    <row r="2" spans="1:7" ht="13.5" thickBot="1">
      <c r="A2" s="70"/>
      <c r="B2" s="150" t="s">
        <v>662</v>
      </c>
      <c r="C2" s="128">
        <v>1</v>
      </c>
      <c r="D2" s="68" t="e">
        <f>Ucorig()</f>
        <v>#VALUE!</v>
      </c>
      <c r="E2" s="71"/>
      <c r="F2" s="67">
        <v>1</v>
      </c>
      <c r="G2">
        <v>20</v>
      </c>
    </row>
    <row r="3" spans="1:6" ht="12.75">
      <c r="A3" s="70"/>
      <c r="B3" s="124" t="e">
        <f>Ucd()</f>
        <v>#VALUE!</v>
      </c>
      <c r="C3" s="59" t="e">
        <f aca="true" t="shared" si="0" ref="C3:C20">Uc(ROW())</f>
        <v>#VALUE!</v>
      </c>
      <c r="D3" s="60" t="s">
        <v>737</v>
      </c>
      <c r="E3" s="71"/>
      <c r="F3">
        <v>2589988110335.999</v>
      </c>
    </row>
    <row r="4" spans="1:6" ht="12.75">
      <c r="A4" s="70"/>
      <c r="B4" s="129" t="e">
        <f aca="true" t="shared" si="1" ref="B4:B20">Ucd()</f>
        <v>#VALUE!</v>
      </c>
      <c r="C4" s="62" t="e">
        <f t="shared" si="0"/>
        <v>#VALUE!</v>
      </c>
      <c r="D4" s="63" t="s">
        <v>738</v>
      </c>
      <c r="E4" s="71"/>
      <c r="F4">
        <v>25899881103.359997</v>
      </c>
    </row>
    <row r="5" spans="1:6" ht="12.75">
      <c r="A5" s="70"/>
      <c r="B5" s="129" t="e">
        <f t="shared" si="1"/>
        <v>#VALUE!</v>
      </c>
      <c r="C5" s="62" t="e">
        <f t="shared" si="0"/>
        <v>#VALUE!</v>
      </c>
      <c r="D5" s="63" t="s">
        <v>739</v>
      </c>
      <c r="E5" s="71"/>
      <c r="F5">
        <v>258998811.0336</v>
      </c>
    </row>
    <row r="6" spans="1:6" ht="12.75">
      <c r="A6" s="70"/>
      <c r="B6" s="129" t="e">
        <f t="shared" si="1"/>
        <v>#VALUE!</v>
      </c>
      <c r="C6" s="62" t="e">
        <f t="shared" si="0"/>
        <v>#VALUE!</v>
      </c>
      <c r="D6" s="63" t="s">
        <v>740</v>
      </c>
      <c r="E6" s="71"/>
      <c r="F6">
        <v>2589988.110336001</v>
      </c>
    </row>
    <row r="7" spans="1:6" ht="12.75">
      <c r="A7" s="70"/>
      <c r="B7" s="129" t="e">
        <f t="shared" si="1"/>
        <v>#VALUE!</v>
      </c>
      <c r="C7" s="62" t="e">
        <f t="shared" si="0"/>
        <v>#VALUE!</v>
      </c>
      <c r="D7" s="63" t="s">
        <v>436</v>
      </c>
      <c r="E7" s="71"/>
      <c r="F7">
        <f>25899.88110336</f>
        <v>25899.88110336</v>
      </c>
    </row>
    <row r="8" spans="1:6" ht="12.75">
      <c r="A8" s="70"/>
      <c r="B8" s="129" t="e">
        <f t="shared" si="1"/>
        <v>#VALUE!</v>
      </c>
      <c r="C8" s="62" t="e">
        <f t="shared" si="0"/>
        <v>#VALUE!</v>
      </c>
      <c r="D8" s="63" t="s">
        <v>424</v>
      </c>
      <c r="E8" s="71"/>
      <c r="F8">
        <v>258.9988110336</v>
      </c>
    </row>
    <row r="9" spans="1:6" ht="13.5" thickBot="1">
      <c r="A9" s="70"/>
      <c r="B9" s="130" t="e">
        <f t="shared" si="1"/>
        <v>#VALUE!</v>
      </c>
      <c r="C9" s="65" t="e">
        <f t="shared" si="0"/>
        <v>#VALUE!</v>
      </c>
      <c r="D9" s="66" t="s">
        <v>741</v>
      </c>
      <c r="E9" s="71"/>
      <c r="F9">
        <v>2.5899881103360003</v>
      </c>
    </row>
    <row r="10" spans="1:6" ht="12.75">
      <c r="A10" s="70"/>
      <c r="B10" s="124" t="e">
        <f t="shared" si="1"/>
        <v>#VALUE!</v>
      </c>
      <c r="C10" s="59" t="e">
        <f t="shared" si="0"/>
        <v>#VALUE!</v>
      </c>
      <c r="D10" s="60" t="s">
        <v>742</v>
      </c>
      <c r="E10" s="71"/>
      <c r="F10">
        <v>4014489600</v>
      </c>
    </row>
    <row r="11" spans="1:6" ht="12.75">
      <c r="A11" s="70"/>
      <c r="B11" s="129" t="e">
        <f t="shared" si="1"/>
        <v>#VALUE!</v>
      </c>
      <c r="C11" s="62" t="e">
        <f t="shared" si="0"/>
        <v>#VALUE!</v>
      </c>
      <c r="D11" s="63" t="s">
        <v>743</v>
      </c>
      <c r="E11" s="71"/>
      <c r="F11">
        <v>27878400</v>
      </c>
    </row>
    <row r="12" spans="1:6" ht="12.75">
      <c r="A12" s="70"/>
      <c r="B12" s="129" t="e">
        <f t="shared" si="1"/>
        <v>#VALUE!</v>
      </c>
      <c r="C12" s="62" t="e">
        <f t="shared" si="0"/>
        <v>#VALUE!</v>
      </c>
      <c r="D12" s="63" t="s">
        <v>744</v>
      </c>
      <c r="E12" s="71"/>
      <c r="F12">
        <v>3097600</v>
      </c>
    </row>
    <row r="13" spans="1:6" ht="12.75">
      <c r="A13" s="70"/>
      <c r="B13" s="129" t="e">
        <f t="shared" si="1"/>
        <v>#VALUE!</v>
      </c>
      <c r="C13" s="62" t="e">
        <f t="shared" si="0"/>
        <v>#VALUE!</v>
      </c>
      <c r="D13" s="63" t="s">
        <v>745</v>
      </c>
      <c r="E13" s="71"/>
      <c r="F13">
        <v>64</v>
      </c>
    </row>
    <row r="14" spans="1:6" ht="13.5" thickBot="1">
      <c r="A14" s="70"/>
      <c r="B14" s="130" t="e">
        <f t="shared" si="1"/>
        <v>#VALUE!</v>
      </c>
      <c r="C14" s="65" t="e">
        <f t="shared" si="0"/>
        <v>#VALUE!</v>
      </c>
      <c r="D14" s="66" t="s">
        <v>156</v>
      </c>
      <c r="E14" s="71"/>
      <c r="F14">
        <v>1</v>
      </c>
    </row>
    <row r="15" spans="1:6" ht="12.75">
      <c r="A15" s="70"/>
      <c r="B15" s="124" t="e">
        <f t="shared" si="1"/>
        <v>#VALUE!</v>
      </c>
      <c r="C15" s="59" t="e">
        <f t="shared" si="0"/>
        <v>#VALUE!</v>
      </c>
      <c r="D15" s="60" t="s">
        <v>153</v>
      </c>
      <c r="E15" s="71"/>
      <c r="F15">
        <f>1760*1760/5.5/5.5</f>
        <v>102400</v>
      </c>
    </row>
    <row r="16" spans="1:6" ht="12.75">
      <c r="A16" s="70"/>
      <c r="B16" s="129" t="e">
        <f t="shared" si="1"/>
        <v>#VALUE!</v>
      </c>
      <c r="C16" s="62" t="e">
        <f t="shared" si="0"/>
        <v>#VALUE!</v>
      </c>
      <c r="D16" s="63" t="s">
        <v>154</v>
      </c>
      <c r="E16" s="71"/>
      <c r="F16">
        <f>1760*1760/22/22</f>
        <v>6400</v>
      </c>
    </row>
    <row r="17" spans="1:6" ht="12.75">
      <c r="A17" s="70"/>
      <c r="B17" s="129" t="e">
        <f t="shared" si="1"/>
        <v>#VALUE!</v>
      </c>
      <c r="C17" s="62" t="e">
        <f t="shared" si="0"/>
        <v>#VALUE!</v>
      </c>
      <c r="D17" s="63" t="s">
        <v>155</v>
      </c>
      <c r="E17" s="71"/>
      <c r="F17">
        <f>1760*1760/1210</f>
        <v>2560</v>
      </c>
    </row>
    <row r="18" spans="1:6" ht="13.5" thickBot="1">
      <c r="A18" s="70"/>
      <c r="B18" s="130" t="e">
        <f t="shared" si="1"/>
        <v>#VALUE!</v>
      </c>
      <c r="C18" s="65" t="e">
        <f t="shared" si="0"/>
        <v>#VALUE!</v>
      </c>
      <c r="D18" s="66" t="s">
        <v>425</v>
      </c>
      <c r="E18" s="71"/>
      <c r="F18">
        <v>640</v>
      </c>
    </row>
    <row r="19" spans="1:6" ht="12.75">
      <c r="A19" s="70"/>
      <c r="B19" s="124" t="e">
        <f t="shared" si="1"/>
        <v>#VALUE!</v>
      </c>
      <c r="C19" s="59" t="e">
        <f t="shared" si="0"/>
        <v>#VALUE!</v>
      </c>
      <c r="D19" s="60" t="s">
        <v>746</v>
      </c>
      <c r="E19" s="71"/>
      <c r="F19">
        <v>0.75511963616644</v>
      </c>
    </row>
    <row r="20" spans="1:6" ht="13.5" thickBot="1">
      <c r="A20" s="70"/>
      <c r="B20" s="130" t="e">
        <f t="shared" si="1"/>
        <v>#VALUE!</v>
      </c>
      <c r="C20" s="65" t="e">
        <f t="shared" si="0"/>
        <v>#VALUE!</v>
      </c>
      <c r="D20" s="66" t="s">
        <v>747</v>
      </c>
      <c r="E20" s="71"/>
      <c r="F20">
        <v>0.7541551246537397</v>
      </c>
    </row>
    <row r="21" spans="1:5" ht="12.75">
      <c r="A21" s="11" t="str">
        <f>Terms!$A$22</f>
        <v>UnitsCalc20050823</v>
      </c>
      <c r="B21" s="70"/>
      <c r="C21" s="70"/>
      <c r="D21" s="70"/>
      <c r="E21" s="13" t="s">
        <v>206</v>
      </c>
    </row>
  </sheetData>
  <sheetProtection sheet="1" objects="1" scenarios="1"/>
  <conditionalFormatting sqref="C3:C20">
    <cfRule type="expression" priority="1" dxfId="0" stopIfTrue="1">
      <formula>ROW()&lt;&gt;$F$1</formula>
    </cfRule>
  </conditionalFormatting>
  <conditionalFormatting sqref="B3:B20 D3:D20">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22">
    <pageSetUpPr fitToPage="1"/>
  </sheetPr>
  <dimension ref="A1:G25"/>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33.140625" style="0" customWidth="1"/>
    <col min="3" max="3" width="18.7109375" style="0" customWidth="1"/>
    <col min="4" max="4" width="30.28125" style="0" customWidth="1"/>
    <col min="5" max="5" width="4.00390625" style="0" customWidth="1"/>
    <col min="6" max="6" width="18.28125" style="0" hidden="1" customWidth="1"/>
    <col min="7" max="7" width="9.28125" style="0" hidden="1" customWidth="1"/>
  </cols>
  <sheetData>
    <row r="1" spans="1:6" ht="15" customHeight="1" thickBot="1">
      <c r="A1" s="147"/>
      <c r="B1" s="36" t="s">
        <v>8</v>
      </c>
      <c r="C1" s="36"/>
      <c r="D1" s="36"/>
      <c r="E1" s="179" t="str">
        <f>Decimals!C6</f>
        <v>F</v>
      </c>
      <c r="F1" s="67">
        <v>3</v>
      </c>
    </row>
    <row r="2" spans="1:7" ht="13.5" thickBot="1">
      <c r="A2" s="70"/>
      <c r="B2" s="150" t="s">
        <v>662</v>
      </c>
      <c r="C2" s="128">
        <v>1</v>
      </c>
      <c r="D2" s="68" t="e">
        <f>Ucorig()</f>
        <v>#VALUE!</v>
      </c>
      <c r="E2" s="71"/>
      <c r="F2" s="67">
        <v>1</v>
      </c>
      <c r="G2">
        <v>24</v>
      </c>
    </row>
    <row r="3" spans="1:6" ht="13.5" thickBot="1">
      <c r="A3" s="70"/>
      <c r="B3" s="131" t="e">
        <f>Ucd()</f>
        <v>#VALUE!</v>
      </c>
      <c r="C3" s="73" t="e">
        <f aca="true" t="shared" si="0" ref="C3:C24">Uc(ROW())</f>
        <v>#VALUE!</v>
      </c>
      <c r="D3" s="68" t="s">
        <v>246</v>
      </c>
      <c r="E3" s="71"/>
      <c r="F3">
        <f>2240*0.45359237*9.80665/0.0254^3</f>
        <v>608041588.0589422</v>
      </c>
    </row>
    <row r="4" spans="1:6" ht="12.75">
      <c r="A4" s="70"/>
      <c r="B4" s="129" t="e">
        <f aca="true" t="shared" si="1" ref="B4:B24">Ucd()</f>
        <v>#VALUE!</v>
      </c>
      <c r="C4" s="62" t="e">
        <f t="shared" si="0"/>
        <v>#VALUE!</v>
      </c>
      <c r="D4" s="63" t="s">
        <v>483</v>
      </c>
      <c r="E4" s="71"/>
      <c r="F4">
        <f>2240*0.45359237*9.80665/25.4^3</f>
        <v>0.6080415880589422</v>
      </c>
    </row>
    <row r="5" spans="1:6" ht="12.75">
      <c r="A5" s="70"/>
      <c r="B5" s="129" t="e">
        <f t="shared" si="1"/>
        <v>#VALUE!</v>
      </c>
      <c r="C5" s="62" t="e">
        <f t="shared" si="0"/>
        <v>#VALUE!</v>
      </c>
      <c r="D5" s="63" t="s">
        <v>247</v>
      </c>
      <c r="E5" s="71"/>
      <c r="F5">
        <f>2240*0.45359237*9.80665/2.54^3</f>
        <v>608.0415880589422</v>
      </c>
    </row>
    <row r="6" spans="1:6" ht="13.5" thickBot="1">
      <c r="A6" s="70"/>
      <c r="B6" s="130" t="e">
        <f t="shared" si="1"/>
        <v>#VALUE!</v>
      </c>
      <c r="C6" s="65" t="e">
        <f t="shared" si="0"/>
        <v>#VALUE!</v>
      </c>
      <c r="D6" s="66" t="s">
        <v>482</v>
      </c>
      <c r="E6" s="71"/>
      <c r="F6">
        <f>2240*0.45359237*9.80665/0.0254^3</f>
        <v>608041588.0589422</v>
      </c>
    </row>
    <row r="7" spans="1:6" ht="12.75">
      <c r="A7" s="70"/>
      <c r="B7" s="124" t="e">
        <f t="shared" si="1"/>
        <v>#VALUE!</v>
      </c>
      <c r="C7" s="59" t="e">
        <f t="shared" si="0"/>
        <v>#VALUE!</v>
      </c>
      <c r="D7" s="60" t="s">
        <v>248</v>
      </c>
      <c r="E7" s="71"/>
      <c r="F7">
        <f>2.24*0.45359237*9.80665/25.4^3</f>
        <v>0.0006080415880589422</v>
      </c>
    </row>
    <row r="8" spans="1:6" ht="12.75">
      <c r="A8" s="70"/>
      <c r="B8" s="129" t="e">
        <f t="shared" si="1"/>
        <v>#VALUE!</v>
      </c>
      <c r="C8" s="62" t="e">
        <f t="shared" si="0"/>
        <v>#VALUE!</v>
      </c>
      <c r="D8" s="63" t="s">
        <v>249</v>
      </c>
      <c r="E8" s="71"/>
      <c r="F8">
        <f>2.24*0.45359237*9.80665/2.54^3</f>
        <v>0.6080415880589422</v>
      </c>
    </row>
    <row r="9" spans="1:6" ht="13.5" thickBot="1">
      <c r="A9" s="70"/>
      <c r="B9" s="130" t="e">
        <f t="shared" si="1"/>
        <v>#VALUE!</v>
      </c>
      <c r="C9" s="75" t="e">
        <f t="shared" si="0"/>
        <v>#VALUE!</v>
      </c>
      <c r="D9" s="66" t="s">
        <v>250</v>
      </c>
      <c r="E9" s="71"/>
      <c r="F9">
        <f>2.24*0.45359237*9.80665/0.0254^3</f>
        <v>608041.5880589422</v>
      </c>
    </row>
    <row r="10" spans="1:6" ht="12.75">
      <c r="A10" s="70"/>
      <c r="B10" s="129" t="e">
        <f t="shared" si="1"/>
        <v>#VALUE!</v>
      </c>
      <c r="C10" s="62" t="e">
        <f t="shared" si="0"/>
        <v>#VALUE!</v>
      </c>
      <c r="D10" s="63" t="s">
        <v>251</v>
      </c>
      <c r="E10" s="71"/>
      <c r="F10">
        <f>2240*0.45359237/25.4^3</f>
        <v>0.062002986550855003</v>
      </c>
    </row>
    <row r="11" spans="1:6" ht="12.75">
      <c r="A11" s="70"/>
      <c r="B11" s="129" t="e">
        <f t="shared" si="1"/>
        <v>#VALUE!</v>
      </c>
      <c r="C11" s="72" t="e">
        <f t="shared" si="0"/>
        <v>#VALUE!</v>
      </c>
      <c r="D11" s="63" t="s">
        <v>252</v>
      </c>
      <c r="E11" s="71"/>
      <c r="F11">
        <f>2240*0.45359237/2.54^3</f>
        <v>62.002986550855</v>
      </c>
    </row>
    <row r="12" spans="1:6" ht="13.5" thickBot="1">
      <c r="A12" s="70"/>
      <c r="B12" s="130" t="e">
        <f t="shared" si="1"/>
        <v>#VALUE!</v>
      </c>
      <c r="C12" s="75" t="e">
        <f t="shared" si="0"/>
        <v>#VALUE!</v>
      </c>
      <c r="D12" s="66" t="s">
        <v>253</v>
      </c>
      <c r="E12" s="71"/>
      <c r="F12">
        <f>2240*0.45359237/0.0254^3</f>
        <v>62002986.550855</v>
      </c>
    </row>
    <row r="13" spans="1:6" ht="12.75">
      <c r="A13" s="70"/>
      <c r="B13" s="129" t="e">
        <f t="shared" si="1"/>
        <v>#VALUE!</v>
      </c>
      <c r="C13" s="62" t="e">
        <f t="shared" si="0"/>
        <v>#VALUE!</v>
      </c>
      <c r="D13" s="63" t="s">
        <v>254</v>
      </c>
      <c r="E13" s="71"/>
      <c r="F13">
        <f>2.24*0.45359237/25.4^3</f>
        <v>6.2002986550855E-05</v>
      </c>
    </row>
    <row r="14" spans="1:6" ht="12.75">
      <c r="A14" s="70"/>
      <c r="B14" s="129" t="e">
        <f t="shared" si="1"/>
        <v>#VALUE!</v>
      </c>
      <c r="C14" s="72" t="e">
        <f t="shared" si="0"/>
        <v>#VALUE!</v>
      </c>
      <c r="D14" s="63" t="s">
        <v>255</v>
      </c>
      <c r="E14" s="71"/>
      <c r="F14">
        <f>2.24*0.45359237/2.54^3</f>
        <v>0.062002986550855003</v>
      </c>
    </row>
    <row r="15" spans="1:6" ht="13.5" thickBot="1">
      <c r="A15" s="70"/>
      <c r="B15" s="130" t="e">
        <f t="shared" si="1"/>
        <v>#VALUE!</v>
      </c>
      <c r="C15" s="75" t="e">
        <f t="shared" si="0"/>
        <v>#VALUE!</v>
      </c>
      <c r="D15" s="66" t="s">
        <v>256</v>
      </c>
      <c r="E15" s="71"/>
      <c r="F15">
        <f>2.24*0.45359237/0.0254^3</f>
        <v>62002.98655085501</v>
      </c>
    </row>
    <row r="16" spans="1:6" ht="12.75">
      <c r="A16" s="70"/>
      <c r="B16" s="124" t="e">
        <f t="shared" si="1"/>
        <v>#VALUE!</v>
      </c>
      <c r="C16" s="59" t="e">
        <f t="shared" si="0"/>
        <v>#VALUE!</v>
      </c>
      <c r="D16" s="60" t="s">
        <v>484</v>
      </c>
      <c r="E16" s="71"/>
      <c r="F16">
        <v>2240</v>
      </c>
    </row>
    <row r="17" spans="1:6" ht="12.75">
      <c r="A17" s="70"/>
      <c r="B17" s="129" t="e">
        <f t="shared" si="1"/>
        <v>#VALUE!</v>
      </c>
      <c r="C17" s="62" t="e">
        <f t="shared" si="0"/>
        <v>#VALUE!</v>
      </c>
      <c r="D17" s="63" t="s">
        <v>257</v>
      </c>
      <c r="E17" s="71"/>
      <c r="F17">
        <f>2240*12^3</f>
        <v>3870720</v>
      </c>
    </row>
    <row r="18" spans="1:6" ht="13.5" thickBot="1">
      <c r="A18" s="70"/>
      <c r="B18" s="130" t="e">
        <f t="shared" si="1"/>
        <v>#VALUE!</v>
      </c>
      <c r="C18" s="75" t="e">
        <f t="shared" si="0"/>
        <v>#VALUE!</v>
      </c>
      <c r="D18" s="66" t="s">
        <v>258</v>
      </c>
      <c r="E18" s="71"/>
      <c r="F18">
        <f>2240*36^3</f>
        <v>104509440</v>
      </c>
    </row>
    <row r="19" spans="1:6" ht="12.75">
      <c r="A19" s="70"/>
      <c r="B19" s="124" t="e">
        <f t="shared" si="1"/>
        <v>#VALUE!</v>
      </c>
      <c r="C19" s="59" t="e">
        <f t="shared" si="0"/>
        <v>#VALUE!</v>
      </c>
      <c r="D19" s="60" t="s">
        <v>259</v>
      </c>
      <c r="E19" s="71"/>
      <c r="F19">
        <v>2.24</v>
      </c>
    </row>
    <row r="20" spans="1:6" ht="12.75">
      <c r="A20" s="70"/>
      <c r="B20" s="129" t="e">
        <f t="shared" si="1"/>
        <v>#VALUE!</v>
      </c>
      <c r="C20" s="62" t="e">
        <f t="shared" si="0"/>
        <v>#VALUE!</v>
      </c>
      <c r="D20" s="63" t="s">
        <v>260</v>
      </c>
      <c r="E20" s="71"/>
      <c r="F20">
        <f>12^3*2.24</f>
        <v>3870.7200000000003</v>
      </c>
    </row>
    <row r="21" spans="1:6" ht="13.5" thickBot="1">
      <c r="A21" s="70"/>
      <c r="B21" s="130" t="e">
        <f t="shared" si="1"/>
        <v>#VALUE!</v>
      </c>
      <c r="C21" s="75" t="e">
        <f t="shared" si="0"/>
        <v>#VALUE!</v>
      </c>
      <c r="D21" s="66" t="s">
        <v>261</v>
      </c>
      <c r="E21" s="71"/>
      <c r="F21">
        <f>36^3*2.24</f>
        <v>104509.44000000002</v>
      </c>
    </row>
    <row r="22" spans="1:6" ht="12.75">
      <c r="A22" s="70"/>
      <c r="B22" s="124" t="e">
        <f t="shared" si="1"/>
        <v>#VALUE!</v>
      </c>
      <c r="C22" s="59" t="e">
        <f t="shared" si="0"/>
        <v>#VALUE!</v>
      </c>
      <c r="D22" s="60" t="s">
        <v>262</v>
      </c>
      <c r="E22" s="71"/>
      <c r="F22">
        <v>1</v>
      </c>
    </row>
    <row r="23" spans="1:6" ht="12.75">
      <c r="A23" s="70"/>
      <c r="B23" s="129" t="e">
        <f t="shared" si="1"/>
        <v>#VALUE!</v>
      </c>
      <c r="C23" s="62" t="e">
        <f t="shared" si="0"/>
        <v>#VALUE!</v>
      </c>
      <c r="D23" s="63" t="s">
        <v>263</v>
      </c>
      <c r="E23" s="71"/>
      <c r="F23">
        <f>12^3</f>
        <v>1728</v>
      </c>
    </row>
    <row r="24" spans="1:6" ht="13.5" thickBot="1">
      <c r="A24" s="70"/>
      <c r="B24" s="130" t="e">
        <f t="shared" si="1"/>
        <v>#VALUE!</v>
      </c>
      <c r="C24" s="75" t="e">
        <f t="shared" si="0"/>
        <v>#VALUE!</v>
      </c>
      <c r="D24" s="66" t="s">
        <v>264</v>
      </c>
      <c r="E24" s="71"/>
      <c r="F24">
        <f>36^3</f>
        <v>46656</v>
      </c>
    </row>
    <row r="25" spans="1:5" ht="12.75">
      <c r="A25" s="11" t="str">
        <f>Terms!$A$22</f>
        <v>UnitsCalc20050823</v>
      </c>
      <c r="B25" s="70"/>
      <c r="C25" s="70"/>
      <c r="D25" s="70"/>
      <c r="E25" s="13" t="s">
        <v>206</v>
      </c>
    </row>
  </sheetData>
  <sheetProtection sheet="1" objects="1" scenarios="1"/>
  <conditionalFormatting sqref="C14:C15 C6 C11:C12 C9 C24 C18 C21">
    <cfRule type="expression" priority="1" dxfId="0" stopIfTrue="1">
      <formula>ROW()&lt;&gt;$F$1</formula>
    </cfRule>
  </conditionalFormatting>
  <conditionalFormatting sqref="C16:C17 C10 C7:C8 C13 C22:C23 C3:C5 C19:C20">
    <cfRule type="expression" priority="2" dxfId="0" stopIfTrue="1">
      <formula>ROW()&lt;&gt;$F$1</formula>
    </cfRule>
  </conditionalFormatting>
  <conditionalFormatting sqref="B3:B24 D3:D24">
    <cfRule type="expression" priority="3"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94" r:id="rId3"/>
  <headerFooter alignWithMargins="0">
    <oddFooter>&amp;L&amp;"Arial,Italic"&amp;8File: &amp;F Tab: &amp;A&amp;R&amp;"Arial,Italic"&amp;8Date Printed: &amp;D</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5"/>
  <dimension ref="A1:G25"/>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30.7109375" style="0" customWidth="1"/>
    <col min="3" max="3" width="18.7109375" style="0" customWidth="1"/>
    <col min="4" max="4" width="20.140625" style="0" customWidth="1"/>
    <col min="5" max="5" width="3.140625" style="0" customWidth="1"/>
    <col min="6" max="6" width="23.140625" style="0" hidden="1" customWidth="1"/>
    <col min="7" max="7" width="5.00390625" style="0" hidden="1" customWidth="1"/>
  </cols>
  <sheetData>
    <row r="1" spans="1:6" ht="15" customHeight="1" thickBot="1">
      <c r="A1" s="147"/>
      <c r="B1" s="36" t="s">
        <v>643</v>
      </c>
      <c r="C1" s="36"/>
      <c r="D1" s="36"/>
      <c r="E1" s="179" t="str">
        <f>Decimals!C6</f>
        <v>F</v>
      </c>
      <c r="F1" s="67">
        <v>3</v>
      </c>
    </row>
    <row r="2" spans="1:7" ht="13.5" thickBot="1">
      <c r="A2" s="34"/>
      <c r="B2" s="150" t="s">
        <v>662</v>
      </c>
      <c r="C2" s="128">
        <v>1</v>
      </c>
      <c r="D2" s="68" t="e">
        <f>Ucorig()</f>
        <v>#VALUE!</v>
      </c>
      <c r="E2" s="35"/>
      <c r="F2" s="67">
        <v>0.004970969537898672</v>
      </c>
      <c r="G2">
        <v>24</v>
      </c>
    </row>
    <row r="3" spans="1:6" ht="12.75">
      <c r="A3" s="34"/>
      <c r="B3" s="124" t="e">
        <f>Ucd()</f>
        <v>#VALUE!</v>
      </c>
      <c r="C3" s="59" t="e">
        <f aca="true" t="shared" si="0" ref="C3:C24">Uc(ROW())</f>
        <v>#VALUE!</v>
      </c>
      <c r="D3" s="60" t="s">
        <v>430</v>
      </c>
      <c r="E3" s="35"/>
      <c r="F3">
        <f>0.254*1.2*3*1760*10000000000</f>
        <v>16093440000000.002</v>
      </c>
    </row>
    <row r="4" spans="1:6" ht="13.5" thickBot="1">
      <c r="A4" s="34"/>
      <c r="B4" s="130" t="e">
        <f aca="true" t="shared" si="1" ref="B4:B24">Ucd()</f>
        <v>#VALUE!</v>
      </c>
      <c r="C4" s="65" t="e">
        <f t="shared" si="0"/>
        <v>#VALUE!</v>
      </c>
      <c r="D4" s="66" t="s">
        <v>427</v>
      </c>
      <c r="E4" s="35"/>
      <c r="F4">
        <f>25.4*12*3*1760*1000</f>
        <v>1609343999.9999998</v>
      </c>
    </row>
    <row r="5" spans="1:6" ht="12.75">
      <c r="A5" s="34"/>
      <c r="B5" s="129" t="e">
        <f t="shared" si="1"/>
        <v>#VALUE!</v>
      </c>
      <c r="C5" s="62" t="e">
        <f t="shared" si="0"/>
        <v>#VALUE!</v>
      </c>
      <c r="D5" s="63" t="s">
        <v>431</v>
      </c>
      <c r="E5" s="35"/>
      <c r="F5">
        <f>25.4*12*3*1760</f>
        <v>1609343.9999999998</v>
      </c>
    </row>
    <row r="6" spans="1:6" ht="12.75">
      <c r="A6" s="34"/>
      <c r="B6" s="129" t="e">
        <f t="shared" si="1"/>
        <v>#VALUE!</v>
      </c>
      <c r="C6" s="62" t="e">
        <f t="shared" si="0"/>
        <v>#VALUE!</v>
      </c>
      <c r="D6" s="63" t="s">
        <v>432</v>
      </c>
      <c r="E6" s="35"/>
      <c r="F6">
        <f>2.54*12*3*1760</f>
        <v>160934.4</v>
      </c>
    </row>
    <row r="7" spans="1:6" ht="12.75">
      <c r="A7" s="34"/>
      <c r="B7" s="129" t="e">
        <f t="shared" si="1"/>
        <v>#VALUE!</v>
      </c>
      <c r="C7" s="62" t="e">
        <f t="shared" si="0"/>
        <v>#VALUE!</v>
      </c>
      <c r="D7" s="63" t="s">
        <v>433</v>
      </c>
      <c r="E7" s="35"/>
      <c r="F7">
        <f>0.254*12*3*1760</f>
        <v>16093.44</v>
      </c>
    </row>
    <row r="8" spans="1:6" ht="12.75">
      <c r="A8" s="34"/>
      <c r="B8" s="129" t="e">
        <f t="shared" si="1"/>
        <v>#VALUE!</v>
      </c>
      <c r="C8" s="62" t="e">
        <f t="shared" si="0"/>
        <v>#VALUE!</v>
      </c>
      <c r="D8" s="63" t="s">
        <v>434</v>
      </c>
      <c r="E8" s="35"/>
      <c r="F8">
        <f>25.4*12*3*1.76</f>
        <v>1609.3439999999998</v>
      </c>
    </row>
    <row r="9" spans="1:6" ht="12.75">
      <c r="A9" s="34"/>
      <c r="B9" s="129" t="e">
        <f t="shared" si="1"/>
        <v>#VALUE!</v>
      </c>
      <c r="C9" s="62" t="e">
        <f t="shared" si="0"/>
        <v>#VALUE!</v>
      </c>
      <c r="D9" s="63" t="s">
        <v>429</v>
      </c>
      <c r="E9" s="35"/>
      <c r="F9">
        <f>0.254*12*3*1.76</f>
        <v>16.09344</v>
      </c>
    </row>
    <row r="10" spans="1:6" ht="13.5" thickBot="1">
      <c r="A10" s="34"/>
      <c r="B10" s="130" t="e">
        <f t="shared" si="1"/>
        <v>#VALUE!</v>
      </c>
      <c r="C10" s="65" t="e">
        <f t="shared" si="0"/>
        <v>#VALUE!</v>
      </c>
      <c r="D10" s="66" t="s">
        <v>435</v>
      </c>
      <c r="E10" s="35"/>
      <c r="F10">
        <f>0.254*1.2*3*1.76</f>
        <v>1.609344</v>
      </c>
    </row>
    <row r="11" spans="1:6" ht="13.5" thickBot="1">
      <c r="A11" s="34"/>
      <c r="B11" s="131" t="e">
        <f t="shared" si="1"/>
        <v>#VALUE!</v>
      </c>
      <c r="C11" s="49" t="e">
        <f t="shared" si="0"/>
        <v>#VALUE!</v>
      </c>
      <c r="D11" s="68" t="s">
        <v>736</v>
      </c>
      <c r="E11" s="35"/>
      <c r="F11">
        <f>12*5280*1000</f>
        <v>63360000</v>
      </c>
    </row>
    <row r="12" spans="1:6" ht="12.75">
      <c r="A12" s="34"/>
      <c r="B12" s="129" t="e">
        <f t="shared" si="1"/>
        <v>#VALUE!</v>
      </c>
      <c r="C12" s="62" t="e">
        <f t="shared" si="0"/>
        <v>#VALUE!</v>
      </c>
      <c r="D12" s="63" t="s">
        <v>422</v>
      </c>
      <c r="E12" s="35"/>
      <c r="F12">
        <f>12*5280</f>
        <v>63360</v>
      </c>
    </row>
    <row r="13" spans="1:6" ht="12.75">
      <c r="A13" s="34"/>
      <c r="B13" s="129" t="e">
        <f t="shared" si="1"/>
        <v>#VALUE!</v>
      </c>
      <c r="C13" s="62" t="e">
        <f t="shared" si="0"/>
        <v>#VALUE!</v>
      </c>
      <c r="D13" s="63" t="s">
        <v>423</v>
      </c>
      <c r="E13" s="35"/>
      <c r="F13">
        <f>5280</f>
        <v>5280</v>
      </c>
    </row>
    <row r="14" spans="1:6" ht="12.75">
      <c r="A14" s="34"/>
      <c r="B14" s="129" t="e">
        <f t="shared" si="1"/>
        <v>#VALUE!</v>
      </c>
      <c r="C14" s="62" t="e">
        <f t="shared" si="0"/>
        <v>#VALUE!</v>
      </c>
      <c r="D14" s="63" t="s">
        <v>420</v>
      </c>
      <c r="E14" s="35"/>
      <c r="F14">
        <v>1760</v>
      </c>
    </row>
    <row r="15" spans="1:6" ht="12.75">
      <c r="A15" s="34"/>
      <c r="B15" s="129" t="e">
        <f t="shared" si="1"/>
        <v>#VALUE!</v>
      </c>
      <c r="C15" s="62" t="e">
        <f t="shared" si="0"/>
        <v>#VALUE!</v>
      </c>
      <c r="D15" s="63" t="s">
        <v>419</v>
      </c>
      <c r="E15" s="35"/>
      <c r="F15">
        <f>8</f>
        <v>8</v>
      </c>
    </row>
    <row r="16" spans="1:6" ht="13.5" thickBot="1">
      <c r="A16" s="34"/>
      <c r="B16" s="130" t="e">
        <f t="shared" si="1"/>
        <v>#VALUE!</v>
      </c>
      <c r="C16" s="65" t="e">
        <f t="shared" si="0"/>
        <v>#VALUE!</v>
      </c>
      <c r="D16" s="66" t="s">
        <v>421</v>
      </c>
      <c r="E16" s="35"/>
      <c r="F16">
        <v>1</v>
      </c>
    </row>
    <row r="17" spans="1:6" ht="12.75">
      <c r="A17" s="34"/>
      <c r="B17" s="129" t="e">
        <f t="shared" si="1"/>
        <v>#VALUE!</v>
      </c>
      <c r="C17" s="62" t="e">
        <f t="shared" si="0"/>
        <v>#VALUE!</v>
      </c>
      <c r="D17" s="63" t="s">
        <v>150</v>
      </c>
      <c r="E17" s="35"/>
      <c r="F17">
        <v>8000</v>
      </c>
    </row>
    <row r="18" spans="1:6" ht="12.75">
      <c r="A18" s="34"/>
      <c r="B18" s="129" t="e">
        <f t="shared" si="1"/>
        <v>#VALUE!</v>
      </c>
      <c r="C18" s="62" t="e">
        <f t="shared" si="0"/>
        <v>#VALUE!</v>
      </c>
      <c r="D18" s="63" t="s">
        <v>152</v>
      </c>
      <c r="E18" s="35"/>
      <c r="F18">
        <v>320</v>
      </c>
    </row>
    <row r="19" spans="1:6" ht="13.5" thickBot="1">
      <c r="A19" s="34"/>
      <c r="B19" s="130" t="e">
        <f t="shared" si="1"/>
        <v>#VALUE!</v>
      </c>
      <c r="C19" s="65" t="e">
        <f t="shared" si="0"/>
        <v>#VALUE!</v>
      </c>
      <c r="D19" s="66" t="s">
        <v>151</v>
      </c>
      <c r="E19" s="35"/>
      <c r="F19">
        <v>80</v>
      </c>
    </row>
    <row r="20" spans="1:6" ht="13.5" thickBot="1">
      <c r="A20" s="34"/>
      <c r="B20" s="131" t="e">
        <f t="shared" si="1"/>
        <v>#VALUE!</v>
      </c>
      <c r="C20" s="49" t="e">
        <f t="shared" si="0"/>
        <v>#VALUE!</v>
      </c>
      <c r="D20" s="68" t="s">
        <v>689</v>
      </c>
      <c r="E20" s="35"/>
      <c r="F20">
        <v>880</v>
      </c>
    </row>
    <row r="21" spans="1:6" ht="12.75">
      <c r="A21" s="34"/>
      <c r="B21" s="124" t="e">
        <f t="shared" si="1"/>
        <v>#VALUE!</v>
      </c>
      <c r="C21" s="59" t="e">
        <f t="shared" si="0"/>
        <v>#VALUE!</v>
      </c>
      <c r="D21" s="60" t="s">
        <v>516</v>
      </c>
      <c r="E21" s="35"/>
      <c r="F21" s="1">
        <f>63.36*25.4/1852</f>
        <v>0.8689762419006478</v>
      </c>
    </row>
    <row r="22" spans="1:6" ht="13.5" thickBot="1">
      <c r="A22" s="34"/>
      <c r="B22" s="130" t="e">
        <f t="shared" si="1"/>
        <v>#VALUE!</v>
      </c>
      <c r="C22" s="65" t="e">
        <f t="shared" si="0"/>
        <v>#VALUE!</v>
      </c>
      <c r="D22" s="66" t="s">
        <v>426</v>
      </c>
      <c r="E22" s="35"/>
      <c r="F22" s="1">
        <v>0.868421052631579</v>
      </c>
    </row>
    <row r="23" spans="1:6" ht="12.75">
      <c r="A23" s="34"/>
      <c r="B23" s="124" t="e">
        <f t="shared" si="1"/>
        <v>#VALUE!</v>
      </c>
      <c r="C23" s="59" t="e">
        <f t="shared" si="0"/>
        <v>#VALUE!</v>
      </c>
      <c r="D23" s="60" t="s">
        <v>384</v>
      </c>
      <c r="E23" s="35"/>
      <c r="F23" s="1">
        <f>25.4*12*3*1.76/299792458/31556926</f>
        <v>1.701114282242113E-13</v>
      </c>
    </row>
    <row r="24" spans="1:6" ht="13.5" thickBot="1">
      <c r="A24" s="34"/>
      <c r="B24" s="130" t="e">
        <f t="shared" si="1"/>
        <v>#VALUE!</v>
      </c>
      <c r="C24" s="65" t="e">
        <f t="shared" si="0"/>
        <v>#VALUE!</v>
      </c>
      <c r="D24" s="66" t="s">
        <v>640</v>
      </c>
      <c r="E24" s="35"/>
      <c r="F24" s="1">
        <f>25.4*12*3*1.76/299792458/31556926/3.26163408</f>
        <v>5.215527678819547E-14</v>
      </c>
    </row>
    <row r="25" spans="1:5" ht="12.75">
      <c r="A25" s="11" t="str">
        <f>Terms!$A$22</f>
        <v>UnitsCalc20050823</v>
      </c>
      <c r="B25" s="34"/>
      <c r="C25" s="34"/>
      <c r="D25" s="34"/>
      <c r="E25" s="13" t="s">
        <v>206</v>
      </c>
    </row>
  </sheetData>
  <sheetProtection sheet="1" objects="1" scenarios="1"/>
  <conditionalFormatting sqref="C3:C24">
    <cfRule type="expression" priority="1" dxfId="0" stopIfTrue="1">
      <formula>ROW()&lt;&gt;$F$1</formula>
    </cfRule>
  </conditionalFormatting>
  <conditionalFormatting sqref="B3:B24 D3:D24">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4"/>
  <headerFooter alignWithMargins="0">
    <oddFooter>&amp;L&amp;"Arial,Italic"&amp;8File: &amp;F Tab: &amp;A&amp;R&amp;"Arial,Italic"&amp;8Date Printed: &amp;D</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24">
    <pageSetUpPr fitToPage="1"/>
  </sheetPr>
  <dimension ref="A1:G16"/>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28.421875" style="0" customWidth="1"/>
    <col min="3" max="3" width="18.7109375" style="0" customWidth="1"/>
    <col min="4" max="4" width="25.57421875" style="0" customWidth="1"/>
    <col min="5" max="5" width="5.8515625" style="0" customWidth="1"/>
    <col min="6" max="6" width="12.421875" style="0" hidden="1" customWidth="1"/>
    <col min="7" max="7" width="4.8515625" style="0" hidden="1" customWidth="1"/>
  </cols>
  <sheetData>
    <row r="1" spans="1:7" ht="15" customHeight="1" thickBot="1">
      <c r="A1" s="147"/>
      <c r="B1" s="36" t="s">
        <v>60</v>
      </c>
      <c r="C1" s="36"/>
      <c r="D1" s="36"/>
      <c r="E1" s="179" t="str">
        <f>Decimals!C6</f>
        <v>F</v>
      </c>
      <c r="F1" s="67">
        <v>3</v>
      </c>
      <c r="G1" s="46"/>
    </row>
    <row r="2" spans="1:7" ht="13.5" thickBot="1">
      <c r="A2" s="70"/>
      <c r="B2" s="150" t="s">
        <v>662</v>
      </c>
      <c r="C2" s="128">
        <v>1</v>
      </c>
      <c r="D2" s="68" t="e">
        <f>Ucorig()</f>
        <v>#VALUE!</v>
      </c>
      <c r="E2" s="71"/>
      <c r="F2" s="67">
        <v>3.088025206594054</v>
      </c>
      <c r="G2" s="46">
        <v>15</v>
      </c>
    </row>
    <row r="3" spans="1:7" ht="12.75">
      <c r="A3" s="70"/>
      <c r="B3" s="124" t="e">
        <f>Ucd()</f>
        <v>#VALUE!</v>
      </c>
      <c r="C3" s="59" t="e">
        <f aca="true" t="shared" si="0" ref="C3:C15">Uc(ROW())</f>
        <v>#VALUE!</v>
      </c>
      <c r="D3" s="60" t="s">
        <v>646</v>
      </c>
      <c r="E3" s="71"/>
      <c r="F3">
        <f>100000*1055.05585262/4.1868</f>
        <v>25199576.111111112</v>
      </c>
      <c r="G3" s="46"/>
    </row>
    <row r="4" spans="1:7" ht="13.5" thickBot="1">
      <c r="A4" s="70"/>
      <c r="B4" s="130" t="e">
        <f aca="true" t="shared" si="1" ref="B4:B15">Ucd()</f>
        <v>#VALUE!</v>
      </c>
      <c r="C4" s="65" t="e">
        <f t="shared" si="0"/>
        <v>#VALUE!</v>
      </c>
      <c r="D4" s="66" t="s">
        <v>647</v>
      </c>
      <c r="E4" s="71"/>
      <c r="F4">
        <f>100*1055.05585262/4.1868</f>
        <v>25199.57611111111</v>
      </c>
      <c r="G4" s="46"/>
    </row>
    <row r="5" spans="1:7" ht="12.75">
      <c r="A5" s="70"/>
      <c r="B5" s="124" t="e">
        <f t="shared" si="1"/>
        <v>#VALUE!</v>
      </c>
      <c r="C5" s="59" t="e">
        <f t="shared" si="0"/>
        <v>#VALUE!</v>
      </c>
      <c r="D5" s="60" t="s">
        <v>770</v>
      </c>
      <c r="E5" s="71"/>
      <c r="F5">
        <f>100000*1055.05585262*10000000</f>
        <v>1055055852620000</v>
      </c>
      <c r="G5" s="46"/>
    </row>
    <row r="6" spans="1:7" ht="12.75">
      <c r="A6" s="70"/>
      <c r="B6" s="129" t="e">
        <f t="shared" si="1"/>
        <v>#VALUE!</v>
      </c>
      <c r="C6" s="62" t="e">
        <f t="shared" si="0"/>
        <v>#VALUE!</v>
      </c>
      <c r="D6" s="63" t="s">
        <v>136</v>
      </c>
      <c r="E6" s="71"/>
      <c r="F6">
        <f>100000*1055.05585262</f>
        <v>105505585.262</v>
      </c>
      <c r="G6" s="46"/>
    </row>
    <row r="7" spans="1:7" ht="12.75">
      <c r="A7" s="70"/>
      <c r="B7" s="129" t="e">
        <f t="shared" si="1"/>
        <v>#VALUE!</v>
      </c>
      <c r="C7" s="62" t="e">
        <f t="shared" si="0"/>
        <v>#VALUE!</v>
      </c>
      <c r="D7" s="63" t="s">
        <v>135</v>
      </c>
      <c r="E7" s="71"/>
      <c r="F7">
        <f>100*1055.05585262</f>
        <v>105505.585262</v>
      </c>
      <c r="G7" s="46"/>
    </row>
    <row r="8" spans="1:7" ht="13.5" thickBot="1">
      <c r="A8" s="70"/>
      <c r="B8" s="130" t="e">
        <f t="shared" si="1"/>
        <v>#VALUE!</v>
      </c>
      <c r="C8" s="65" t="e">
        <f t="shared" si="0"/>
        <v>#VALUE!</v>
      </c>
      <c r="D8" s="66" t="s">
        <v>134</v>
      </c>
      <c r="E8" s="71"/>
      <c r="F8">
        <f>0.1*1055.05585262</f>
        <v>105.50558526200001</v>
      </c>
      <c r="G8" s="46"/>
    </row>
    <row r="9" spans="1:7" ht="12.75">
      <c r="A9" s="70"/>
      <c r="B9" s="124" t="e">
        <f t="shared" si="1"/>
        <v>#VALUE!</v>
      </c>
      <c r="C9" s="59" t="e">
        <f t="shared" si="0"/>
        <v>#VALUE!</v>
      </c>
      <c r="D9" s="60" t="s">
        <v>132</v>
      </c>
      <c r="E9" s="71"/>
      <c r="F9">
        <f>100000*1055.05585262/9.80665</f>
        <v>10758575.585138656</v>
      </c>
      <c r="G9" s="46"/>
    </row>
    <row r="10" spans="1:7" ht="13.5" thickBot="1">
      <c r="A10" s="70"/>
      <c r="B10" s="130" t="e">
        <f t="shared" si="1"/>
        <v>#VALUE!</v>
      </c>
      <c r="C10" s="65" t="e">
        <f t="shared" si="0"/>
        <v>#VALUE!</v>
      </c>
      <c r="D10" s="66" t="s">
        <v>133</v>
      </c>
      <c r="E10" s="71"/>
      <c r="F10">
        <f>100000*1055.05585262/0.3048/9.80665/0.45359237</f>
        <v>77816926.22659647</v>
      </c>
      <c r="G10" s="46"/>
    </row>
    <row r="11" spans="1:7" ht="12.75">
      <c r="A11" s="70"/>
      <c r="B11" s="124" t="e">
        <f t="shared" si="1"/>
        <v>#VALUE!</v>
      </c>
      <c r="C11" s="59" t="e">
        <f t="shared" si="0"/>
        <v>#VALUE!</v>
      </c>
      <c r="D11" s="60" t="s">
        <v>649</v>
      </c>
      <c r="E11" s="71"/>
      <c r="F11">
        <f>100000*1055.05585262/0.3048/9.80665/0.45359237/(550*60*60)</f>
        <v>39.30147789222044</v>
      </c>
      <c r="G11" s="46"/>
    </row>
    <row r="12" spans="1:7" ht="13.5" thickBot="1">
      <c r="A12" s="70"/>
      <c r="B12" s="130" t="e">
        <f t="shared" si="1"/>
        <v>#VALUE!</v>
      </c>
      <c r="C12" s="75" t="e">
        <f t="shared" si="0"/>
        <v>#VALUE!</v>
      </c>
      <c r="D12" s="66" t="s">
        <v>648</v>
      </c>
      <c r="E12" s="71"/>
      <c r="F12">
        <f>100*1055.05585262/60/60</f>
        <v>29.307107017222222</v>
      </c>
      <c r="G12" s="46"/>
    </row>
    <row r="13" spans="1:7" ht="12.75">
      <c r="A13" s="70"/>
      <c r="B13" s="129" t="e">
        <f t="shared" si="1"/>
        <v>#VALUE!</v>
      </c>
      <c r="C13" s="62" t="e">
        <f t="shared" si="0"/>
        <v>#VALUE!</v>
      </c>
      <c r="D13" s="63" t="s">
        <v>684</v>
      </c>
      <c r="E13" s="71"/>
      <c r="F13">
        <v>100000</v>
      </c>
      <c r="G13" s="46"/>
    </row>
    <row r="14" spans="1:7" ht="12.75">
      <c r="A14" s="70"/>
      <c r="B14" s="129" t="e">
        <f t="shared" si="1"/>
        <v>#VALUE!</v>
      </c>
      <c r="C14" s="62" t="e">
        <f t="shared" si="0"/>
        <v>#VALUE!</v>
      </c>
      <c r="D14" s="63" t="s">
        <v>771</v>
      </c>
      <c r="E14" s="71"/>
      <c r="F14">
        <f>100000/1.8</f>
        <v>55555.555555555555</v>
      </c>
      <c r="G14" s="46"/>
    </row>
    <row r="15" spans="1:7" ht="13.5" thickBot="1">
      <c r="A15" s="70"/>
      <c r="B15" s="130" t="e">
        <f t="shared" si="1"/>
        <v>#VALUE!</v>
      </c>
      <c r="C15" s="65" t="e">
        <f t="shared" si="0"/>
        <v>#VALUE!</v>
      </c>
      <c r="D15" s="66" t="s">
        <v>653</v>
      </c>
      <c r="E15" s="71"/>
      <c r="F15">
        <v>1</v>
      </c>
      <c r="G15" s="46"/>
    </row>
    <row r="16" spans="1:5" ht="12.75">
      <c r="A16" s="11" t="str">
        <f>Terms!$A$22</f>
        <v>UnitsCalc20050823</v>
      </c>
      <c r="B16" s="70"/>
      <c r="C16" s="70"/>
      <c r="D16" s="70"/>
      <c r="E16" s="13" t="s">
        <v>206</v>
      </c>
    </row>
  </sheetData>
  <sheetProtection sheet="1" objects="1" scenarios="1"/>
  <conditionalFormatting sqref="C4:C9 C11:C15">
    <cfRule type="expression" priority="1" dxfId="0" stopIfTrue="1">
      <formula>ROW()&lt;&gt;$F$1</formula>
    </cfRule>
  </conditionalFormatting>
  <conditionalFormatting sqref="C3 C10">
    <cfRule type="expression" priority="2" dxfId="0" stopIfTrue="1">
      <formula>ROW()&lt;&gt;$F$1</formula>
    </cfRule>
  </conditionalFormatting>
  <conditionalFormatting sqref="B3:B15 D3:D15">
    <cfRule type="expression" priority="3"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G41"/>
  <sheetViews>
    <sheetView showGridLines="0" showRowColHeaders="0"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5.8515625" style="0" customWidth="1"/>
    <col min="2" max="2" width="30.421875" style="0" customWidth="1"/>
    <col min="3" max="3" width="18.7109375" style="0" customWidth="1"/>
    <col min="4" max="4" width="26.57421875" style="0" customWidth="1"/>
    <col min="5" max="5" width="3.140625" style="0" customWidth="1"/>
    <col min="6" max="6" width="11.421875" style="0" hidden="1" customWidth="1"/>
    <col min="7" max="7" width="9.140625" style="0" hidden="1" customWidth="1"/>
  </cols>
  <sheetData>
    <row r="1" spans="1:6" ht="15" customHeight="1" thickBot="1">
      <c r="A1" s="147"/>
      <c r="B1" s="36" t="s">
        <v>147</v>
      </c>
      <c r="C1" s="36"/>
      <c r="D1" s="36"/>
      <c r="E1" s="179" t="str">
        <f>Decimals!C6</f>
        <v>F</v>
      </c>
      <c r="F1" s="67">
        <v>3</v>
      </c>
    </row>
    <row r="2" spans="1:7" ht="13.5" thickBot="1">
      <c r="A2" s="70"/>
      <c r="B2" s="150" t="s">
        <v>662</v>
      </c>
      <c r="C2" s="128">
        <v>1</v>
      </c>
      <c r="D2" s="68" t="e">
        <f>Ucorig()</f>
        <v>#VALUE!</v>
      </c>
      <c r="E2" s="71"/>
      <c r="F2" s="67">
        <v>1</v>
      </c>
      <c r="G2">
        <v>40</v>
      </c>
    </row>
    <row r="3" spans="1:6" ht="12.75">
      <c r="A3" s="70"/>
      <c r="B3" s="124" t="e">
        <f>Ucd()</f>
        <v>#VALUE!</v>
      </c>
      <c r="C3" s="59" t="e">
        <f aca="true" t="shared" si="0" ref="C3:C40">Uc(ROW())</f>
        <v>#VALUE!</v>
      </c>
      <c r="D3" s="60" t="s">
        <v>265</v>
      </c>
      <c r="E3" s="70"/>
      <c r="F3">
        <f>(1000/25.4)^3*3600</f>
        <v>219685478.74103624</v>
      </c>
    </row>
    <row r="4" spans="1:6" ht="12.75">
      <c r="A4" s="70"/>
      <c r="B4" s="129" t="e">
        <f aca="true" t="shared" si="1" ref="B4:B40">Ucd()</f>
        <v>#VALUE!</v>
      </c>
      <c r="C4" s="62" t="e">
        <f t="shared" si="0"/>
        <v>#VALUE!</v>
      </c>
      <c r="D4" s="63" t="s">
        <v>266</v>
      </c>
      <c r="E4" s="70"/>
      <c r="F4">
        <f>(1000/25.4)^3*60</f>
        <v>3661424.6456839372</v>
      </c>
    </row>
    <row r="5" spans="1:6" ht="13.5" thickBot="1">
      <c r="A5" s="70"/>
      <c r="B5" s="130" t="e">
        <f t="shared" si="1"/>
        <v>#VALUE!</v>
      </c>
      <c r="C5" s="65" t="e">
        <f t="shared" si="0"/>
        <v>#VALUE!</v>
      </c>
      <c r="D5" s="66" t="s">
        <v>267</v>
      </c>
      <c r="E5" s="70"/>
      <c r="F5">
        <f>(1000/25.4)^3</f>
        <v>61023.74409473229</v>
      </c>
    </row>
    <row r="6" spans="1:6" ht="12.75">
      <c r="A6" s="70"/>
      <c r="B6" s="124" t="e">
        <f t="shared" si="1"/>
        <v>#VALUE!</v>
      </c>
      <c r="C6" s="59" t="e">
        <f t="shared" si="0"/>
        <v>#VALUE!</v>
      </c>
      <c r="D6" s="60" t="s">
        <v>268</v>
      </c>
      <c r="E6" s="70"/>
      <c r="F6">
        <f>(1000/304.8)^3*3600</f>
        <v>127132.80019735893</v>
      </c>
    </row>
    <row r="7" spans="1:6" ht="12.75">
      <c r="A7" s="70"/>
      <c r="B7" s="129" t="e">
        <f t="shared" si="1"/>
        <v>#VALUE!</v>
      </c>
      <c r="C7" s="62" t="e">
        <f t="shared" si="0"/>
        <v>#VALUE!</v>
      </c>
      <c r="D7" s="63" t="s">
        <v>269</v>
      </c>
      <c r="E7" s="70"/>
      <c r="F7">
        <f>(1000/304.8)^3*60</f>
        <v>2118.8800032893155</v>
      </c>
    </row>
    <row r="8" spans="1:6" ht="13.5" thickBot="1">
      <c r="A8" s="70"/>
      <c r="B8" s="130" t="e">
        <f t="shared" si="1"/>
        <v>#VALUE!</v>
      </c>
      <c r="C8" s="65" t="e">
        <f t="shared" si="0"/>
        <v>#VALUE!</v>
      </c>
      <c r="D8" s="66" t="s">
        <v>72</v>
      </c>
      <c r="E8" s="70"/>
      <c r="F8">
        <f>(1000/304.8)^3</f>
        <v>35.31466672148859</v>
      </c>
    </row>
    <row r="9" spans="1:6" ht="12.75">
      <c r="A9" s="70"/>
      <c r="B9" s="129" t="e">
        <f t="shared" si="1"/>
        <v>#VALUE!</v>
      </c>
      <c r="C9" s="62" t="e">
        <f t="shared" si="0"/>
        <v>#VALUE!</v>
      </c>
      <c r="D9" s="63" t="s">
        <v>270</v>
      </c>
      <c r="E9" s="70"/>
      <c r="F9">
        <f>(1000/914.4)^3*3600</f>
        <v>4708.622229531813</v>
      </c>
    </row>
    <row r="10" spans="1:6" ht="12.75">
      <c r="A10" s="70"/>
      <c r="B10" s="129" t="e">
        <f t="shared" si="1"/>
        <v>#VALUE!</v>
      </c>
      <c r="C10" s="62" t="e">
        <f t="shared" si="0"/>
        <v>#VALUE!</v>
      </c>
      <c r="D10" s="63" t="s">
        <v>271</v>
      </c>
      <c r="E10" s="70"/>
      <c r="F10">
        <f>(1000/914.4)^3*60</f>
        <v>78.47703715886354</v>
      </c>
    </row>
    <row r="11" spans="1:6" ht="13.5" thickBot="1">
      <c r="A11" s="70"/>
      <c r="B11" s="129" t="e">
        <f t="shared" si="1"/>
        <v>#VALUE!</v>
      </c>
      <c r="C11" s="62" t="e">
        <f t="shared" si="0"/>
        <v>#VALUE!</v>
      </c>
      <c r="D11" s="63" t="s">
        <v>272</v>
      </c>
      <c r="E11" s="70"/>
      <c r="F11">
        <f>(1000/914.4)^3</f>
        <v>1.3079506193143924</v>
      </c>
    </row>
    <row r="12" spans="1:6" ht="12.75">
      <c r="A12" s="70"/>
      <c r="B12" s="124" t="e">
        <f t="shared" si="1"/>
        <v>#VALUE!</v>
      </c>
      <c r="C12" s="59" t="e">
        <f t="shared" si="0"/>
        <v>#VALUE!</v>
      </c>
      <c r="D12" s="60" t="s">
        <v>273</v>
      </c>
      <c r="E12" s="70"/>
      <c r="F12">
        <f>160*(1000/25.4)^3/277.42*3600</f>
        <v>126702027.9668582</v>
      </c>
    </row>
    <row r="13" spans="1:6" ht="12.75">
      <c r="A13" s="70"/>
      <c r="B13" s="129" t="e">
        <f t="shared" si="1"/>
        <v>#VALUE!</v>
      </c>
      <c r="C13" s="62" t="e">
        <f t="shared" si="0"/>
        <v>#VALUE!</v>
      </c>
      <c r="D13" s="63" t="s">
        <v>274</v>
      </c>
      <c r="E13" s="70"/>
      <c r="F13">
        <f>160*(1000/25.4)^3/277.42*60</f>
        <v>2111700.466114303</v>
      </c>
    </row>
    <row r="14" spans="1:6" ht="13.5" thickBot="1">
      <c r="A14" s="70"/>
      <c r="B14" s="130" t="e">
        <f t="shared" si="1"/>
        <v>#VALUE!</v>
      </c>
      <c r="C14" s="65" t="e">
        <f t="shared" si="0"/>
        <v>#VALUE!</v>
      </c>
      <c r="D14" s="66" t="s">
        <v>275</v>
      </c>
      <c r="E14" s="70"/>
      <c r="F14">
        <f>160*(1000/25.4)^3/277.42</f>
        <v>35195.00776857172</v>
      </c>
    </row>
    <row r="15" spans="1:6" ht="12.75">
      <c r="A15" s="70"/>
      <c r="B15" s="124" t="e">
        <f t="shared" si="1"/>
        <v>#VALUE!</v>
      </c>
      <c r="C15" s="59" t="e">
        <f t="shared" si="0"/>
        <v>#VALUE!</v>
      </c>
      <c r="D15" s="60" t="s">
        <v>601</v>
      </c>
      <c r="E15" s="70"/>
      <c r="F15">
        <f>(1000/25.4)^3/277.42*86400</f>
        <v>19005304.195028726</v>
      </c>
    </row>
    <row r="16" spans="1:6" ht="12.75">
      <c r="A16" s="70"/>
      <c r="B16" s="129" t="e">
        <f t="shared" si="1"/>
        <v>#VALUE!</v>
      </c>
      <c r="C16" s="62" t="e">
        <f t="shared" si="0"/>
        <v>#VALUE!</v>
      </c>
      <c r="D16" s="63" t="s">
        <v>602</v>
      </c>
      <c r="E16" s="70"/>
      <c r="F16">
        <f>(1000/25.4)^3/277.42*3600</f>
        <v>791887.6747928637</v>
      </c>
    </row>
    <row r="17" spans="1:6" ht="12.75">
      <c r="A17" s="70"/>
      <c r="B17" s="129" t="e">
        <f t="shared" si="1"/>
        <v>#VALUE!</v>
      </c>
      <c r="C17" s="62" t="e">
        <f t="shared" si="0"/>
        <v>#VALUE!</v>
      </c>
      <c r="D17" s="63" t="s">
        <v>603</v>
      </c>
      <c r="E17" s="70"/>
      <c r="F17">
        <f>(1000/25.4)^3/277.42*60</f>
        <v>13198.127913214394</v>
      </c>
    </row>
    <row r="18" spans="1:6" ht="13.5" thickBot="1">
      <c r="A18" s="70"/>
      <c r="B18" s="130" t="e">
        <f t="shared" si="1"/>
        <v>#VALUE!</v>
      </c>
      <c r="C18" s="65" t="e">
        <f t="shared" si="0"/>
        <v>#VALUE!</v>
      </c>
      <c r="D18" s="66" t="s">
        <v>604</v>
      </c>
      <c r="E18" s="70"/>
      <c r="F18">
        <f>(1000/25.4)^3/277.42</f>
        <v>219.96879855357324</v>
      </c>
    </row>
    <row r="19" spans="1:6" ht="13.5" thickBot="1">
      <c r="A19" s="70"/>
      <c r="B19" s="131" t="e">
        <f t="shared" si="1"/>
        <v>#VALUE!</v>
      </c>
      <c r="C19" s="49" t="e">
        <f t="shared" si="0"/>
        <v>#VALUE!</v>
      </c>
      <c r="D19" s="68" t="s">
        <v>609</v>
      </c>
      <c r="E19" s="70"/>
      <c r="F19">
        <f>(1000/25.4)^3/42/231*86400</f>
        <v>543439.6505653339</v>
      </c>
    </row>
    <row r="20" spans="1:6" ht="12.75">
      <c r="A20" s="70"/>
      <c r="B20" s="124" t="e">
        <f t="shared" si="1"/>
        <v>#VALUE!</v>
      </c>
      <c r="C20" s="59" t="e">
        <f t="shared" si="0"/>
        <v>#VALUE!</v>
      </c>
      <c r="D20" s="60" t="s">
        <v>276</v>
      </c>
      <c r="E20" s="70"/>
      <c r="F20">
        <f>128*(1000/25.4)^3/231*3600</f>
        <v>121730481.7266348</v>
      </c>
    </row>
    <row r="21" spans="1:6" ht="12.75">
      <c r="A21" s="70"/>
      <c r="B21" s="129" t="e">
        <f t="shared" si="1"/>
        <v>#VALUE!</v>
      </c>
      <c r="C21" s="62" t="e">
        <f t="shared" si="0"/>
        <v>#VALUE!</v>
      </c>
      <c r="D21" s="63" t="s">
        <v>277</v>
      </c>
      <c r="E21" s="70"/>
      <c r="F21">
        <f>128*(1000/25.4)^3/231*60</f>
        <v>2028841.36211058</v>
      </c>
    </row>
    <row r="22" spans="1:6" ht="13.5" thickBot="1">
      <c r="A22" s="70"/>
      <c r="B22" s="130" t="e">
        <f t="shared" si="1"/>
        <v>#VALUE!</v>
      </c>
      <c r="C22" s="65" t="e">
        <f t="shared" si="0"/>
        <v>#VALUE!</v>
      </c>
      <c r="D22" s="66" t="s">
        <v>278</v>
      </c>
      <c r="E22" s="70"/>
      <c r="F22">
        <f>128*(1000/25.4)^3/231</f>
        <v>33814.022701843</v>
      </c>
    </row>
    <row r="23" spans="1:6" ht="12.75">
      <c r="A23" s="70"/>
      <c r="B23" s="124" t="e">
        <f t="shared" si="1"/>
        <v>#VALUE!</v>
      </c>
      <c r="C23" s="59" t="e">
        <f t="shared" si="0"/>
        <v>#VALUE!</v>
      </c>
      <c r="D23" s="60" t="s">
        <v>605</v>
      </c>
      <c r="E23" s="70"/>
      <c r="F23">
        <f>(1000/25.4)^3/231*86400</f>
        <v>22824465.323744025</v>
      </c>
    </row>
    <row r="24" spans="1:6" ht="12.75">
      <c r="A24" s="70"/>
      <c r="B24" s="129" t="e">
        <f t="shared" si="1"/>
        <v>#VALUE!</v>
      </c>
      <c r="C24" s="62" t="e">
        <f t="shared" si="0"/>
        <v>#VALUE!</v>
      </c>
      <c r="D24" s="63" t="s">
        <v>606</v>
      </c>
      <c r="E24" s="70"/>
      <c r="F24">
        <f>(1000/25.4)^3/231*3600</f>
        <v>951019.3884893344</v>
      </c>
    </row>
    <row r="25" spans="1:6" ht="12.75">
      <c r="A25" s="70"/>
      <c r="B25" s="129" t="e">
        <f t="shared" si="1"/>
        <v>#VALUE!</v>
      </c>
      <c r="C25" s="62" t="e">
        <f t="shared" si="0"/>
        <v>#VALUE!</v>
      </c>
      <c r="D25" s="63" t="s">
        <v>607</v>
      </c>
      <c r="E25" s="70"/>
      <c r="F25">
        <f>(1000/25.4)^3/231*60</f>
        <v>15850.323141488907</v>
      </c>
    </row>
    <row r="26" spans="1:6" ht="13.5" thickBot="1">
      <c r="A26" s="70"/>
      <c r="B26" s="130" t="e">
        <f t="shared" si="1"/>
        <v>#VALUE!</v>
      </c>
      <c r="C26" s="65" t="e">
        <f t="shared" si="0"/>
        <v>#VALUE!</v>
      </c>
      <c r="D26" s="66" t="s">
        <v>608</v>
      </c>
      <c r="E26" s="70"/>
      <c r="F26">
        <f>(1000/25.4)^3/231</f>
        <v>264.17205235814845</v>
      </c>
    </row>
    <row r="27" spans="1:6" ht="12.75">
      <c r="A27" s="70"/>
      <c r="B27" s="124" t="e">
        <f t="shared" si="1"/>
        <v>#VALUE!</v>
      </c>
      <c r="C27" s="59" t="e">
        <f t="shared" si="0"/>
        <v>#VALUE!</v>
      </c>
      <c r="D27" s="60" t="s">
        <v>782</v>
      </c>
      <c r="E27" s="70"/>
      <c r="F27">
        <f>1000*86400</f>
        <v>86400000</v>
      </c>
    </row>
    <row r="28" spans="1:6" ht="12.75">
      <c r="A28" s="70"/>
      <c r="B28" s="129" t="e">
        <f t="shared" si="1"/>
        <v>#VALUE!</v>
      </c>
      <c r="C28" s="62" t="e">
        <f t="shared" si="0"/>
        <v>#VALUE!</v>
      </c>
      <c r="D28" s="63" t="s">
        <v>783</v>
      </c>
      <c r="E28" s="70"/>
      <c r="F28">
        <f>1000*3600</f>
        <v>3600000</v>
      </c>
    </row>
    <row r="29" spans="1:6" ht="12.75">
      <c r="A29" s="70"/>
      <c r="B29" s="129" t="e">
        <f t="shared" si="1"/>
        <v>#VALUE!</v>
      </c>
      <c r="C29" s="62" t="e">
        <f t="shared" si="0"/>
        <v>#VALUE!</v>
      </c>
      <c r="D29" s="63" t="s">
        <v>784</v>
      </c>
      <c r="E29" s="70"/>
      <c r="F29">
        <f>1000*60</f>
        <v>60000</v>
      </c>
    </row>
    <row r="30" spans="1:6" ht="13.5" thickBot="1">
      <c r="A30" s="70"/>
      <c r="B30" s="130" t="e">
        <f t="shared" si="1"/>
        <v>#VALUE!</v>
      </c>
      <c r="C30" s="65" t="e">
        <f t="shared" si="0"/>
        <v>#VALUE!</v>
      </c>
      <c r="D30" s="66" t="s">
        <v>785</v>
      </c>
      <c r="E30" s="70"/>
      <c r="F30">
        <f>10*10*10</f>
        <v>1000</v>
      </c>
    </row>
    <row r="31" spans="1:6" ht="12.75">
      <c r="A31" s="70"/>
      <c r="B31" s="124" t="e">
        <f t="shared" si="1"/>
        <v>#VALUE!</v>
      </c>
      <c r="C31" s="59" t="e">
        <f t="shared" si="0"/>
        <v>#VALUE!</v>
      </c>
      <c r="D31" s="60" t="s">
        <v>282</v>
      </c>
      <c r="E31" s="70"/>
      <c r="F31">
        <f>100^3*3600</f>
        <v>3600000000</v>
      </c>
    </row>
    <row r="32" spans="1:6" ht="12.75">
      <c r="A32" s="70"/>
      <c r="B32" s="129" t="e">
        <f t="shared" si="1"/>
        <v>#VALUE!</v>
      </c>
      <c r="C32" s="62" t="e">
        <f t="shared" si="0"/>
        <v>#VALUE!</v>
      </c>
      <c r="D32" s="63" t="s">
        <v>283</v>
      </c>
      <c r="E32" s="70"/>
      <c r="F32">
        <f>100^3*60</f>
        <v>60000000</v>
      </c>
    </row>
    <row r="33" spans="1:6" ht="13.5" thickBot="1">
      <c r="A33" s="70"/>
      <c r="B33" s="130" t="e">
        <f t="shared" si="1"/>
        <v>#VALUE!</v>
      </c>
      <c r="C33" s="65" t="e">
        <f t="shared" si="0"/>
        <v>#VALUE!</v>
      </c>
      <c r="D33" s="66" t="s">
        <v>284</v>
      </c>
      <c r="E33" s="70"/>
      <c r="F33">
        <f>100^3</f>
        <v>1000000</v>
      </c>
    </row>
    <row r="34" spans="1:6" ht="12.75">
      <c r="A34" s="70"/>
      <c r="B34" s="129" t="e">
        <f t="shared" si="1"/>
        <v>#VALUE!</v>
      </c>
      <c r="C34" s="62" t="e">
        <f t="shared" si="0"/>
        <v>#VALUE!</v>
      </c>
      <c r="D34" s="63" t="s">
        <v>279</v>
      </c>
      <c r="E34" s="70"/>
      <c r="F34">
        <f>100^3*3600</f>
        <v>3600000000</v>
      </c>
    </row>
    <row r="35" spans="1:6" ht="12.75">
      <c r="A35" s="70"/>
      <c r="B35" s="129" t="e">
        <f t="shared" si="1"/>
        <v>#VALUE!</v>
      </c>
      <c r="C35" s="62" t="e">
        <f t="shared" si="0"/>
        <v>#VALUE!</v>
      </c>
      <c r="D35" s="63" t="s">
        <v>280</v>
      </c>
      <c r="E35" s="70"/>
      <c r="F35">
        <f>100^3*60</f>
        <v>60000000</v>
      </c>
    </row>
    <row r="36" spans="1:6" ht="13.5" thickBot="1">
      <c r="A36" s="70"/>
      <c r="B36" s="130" t="e">
        <f t="shared" si="1"/>
        <v>#VALUE!</v>
      </c>
      <c r="C36" s="65" t="e">
        <f t="shared" si="0"/>
        <v>#VALUE!</v>
      </c>
      <c r="D36" s="66" t="s">
        <v>281</v>
      </c>
      <c r="E36" s="70"/>
      <c r="F36">
        <f>100^3</f>
        <v>1000000</v>
      </c>
    </row>
    <row r="37" spans="1:6" ht="12.75">
      <c r="A37" s="70"/>
      <c r="B37" s="129" t="e">
        <f t="shared" si="1"/>
        <v>#VALUE!</v>
      </c>
      <c r="C37" s="62" t="e">
        <f t="shared" si="0"/>
        <v>#VALUE!</v>
      </c>
      <c r="D37" s="63" t="s">
        <v>291</v>
      </c>
      <c r="E37" s="70"/>
      <c r="F37">
        <f>60*60*24</f>
        <v>86400</v>
      </c>
    </row>
    <row r="38" spans="1:6" ht="12.75">
      <c r="A38" s="70"/>
      <c r="B38" s="129" t="e">
        <f t="shared" si="1"/>
        <v>#VALUE!</v>
      </c>
      <c r="C38" s="62" t="e">
        <f t="shared" si="0"/>
        <v>#VALUE!</v>
      </c>
      <c r="D38" s="63" t="s">
        <v>292</v>
      </c>
      <c r="E38" s="70"/>
      <c r="F38">
        <f>60*60</f>
        <v>3600</v>
      </c>
    </row>
    <row r="39" spans="1:6" ht="12.75">
      <c r="A39" s="70"/>
      <c r="B39" s="129" t="e">
        <f t="shared" si="1"/>
        <v>#VALUE!</v>
      </c>
      <c r="C39" s="62" t="e">
        <f t="shared" si="0"/>
        <v>#VALUE!</v>
      </c>
      <c r="D39" s="63" t="s">
        <v>293</v>
      </c>
      <c r="E39" s="70"/>
      <c r="F39">
        <f>60*F40</f>
        <v>60</v>
      </c>
    </row>
    <row r="40" spans="1:6" ht="13.5" thickBot="1">
      <c r="A40" s="70"/>
      <c r="B40" s="130" t="e">
        <f t="shared" si="1"/>
        <v>#VALUE!</v>
      </c>
      <c r="C40" s="65" t="e">
        <f t="shared" si="0"/>
        <v>#VALUE!</v>
      </c>
      <c r="D40" s="66" t="s">
        <v>73</v>
      </c>
      <c r="E40" s="70"/>
      <c r="F40">
        <v>1</v>
      </c>
    </row>
    <row r="41" spans="1:5" ht="12.75">
      <c r="A41" s="11" t="str">
        <f>Terms!$A$22</f>
        <v>UnitsCalc20050823</v>
      </c>
      <c r="B41" s="70"/>
      <c r="C41" s="70"/>
      <c r="D41" s="70"/>
      <c r="E41" s="13" t="s">
        <v>206</v>
      </c>
    </row>
  </sheetData>
  <sheetProtection sheet="1" objects="1" scenarios="1"/>
  <conditionalFormatting sqref="C3:C40">
    <cfRule type="expression" priority="1" dxfId="0" stopIfTrue="1">
      <formula>ROW()&lt;&gt;$F$1</formula>
    </cfRule>
  </conditionalFormatting>
  <conditionalFormatting sqref="B3:B40 D3:D40">
    <cfRule type="expression" priority="2" dxfId="1" stopIfTrue="1">
      <formula>ROW()=$F$1</formula>
    </cfRule>
  </conditionalFormatting>
  <dataValidations count="1">
    <dataValidation type="decimal" operator="greaterThan" showInputMessage="1" showErrorMessage="1" errorTitle="UnitsCalc: Conversion Value" error="Input a numerical value greater than 0 (zero)." sqref="C2">
      <formula1>0</formula1>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&amp;L&amp;"Arial,Italic"&amp;8File: &amp;F Tab: &amp;A&amp;R&amp;"Arial,Italic"&amp;8Date Printed: &amp;D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Techno Consultants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UnitsCalc</dc:title>
  <dc:subject>Conversion ofUnits</dc:subject>
  <dc:creator>Dr Shaiq Khan</dc:creator>
  <cp:keywords>Units</cp:keywords>
  <dc:description>2nd Version Issued on 5 December 2001</dc:description>
  <cp:lastModifiedBy>S Khan</cp:lastModifiedBy>
  <cp:lastPrinted>2002-07-08T06:55:41Z</cp:lastPrinted>
  <dcterms:created xsi:type="dcterms:W3CDTF">2001-08-27T18:22:14Z</dcterms:created>
  <dcterms:modified xsi:type="dcterms:W3CDTF">2005-10-31T20:30:23Z</dcterms:modified>
  <cp:category/>
  <cp:version/>
  <cp:contentType/>
  <cp:contentStatus/>
</cp:coreProperties>
</file>